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uka/Desktop/"/>
    </mc:Choice>
  </mc:AlternateContent>
  <xr:revisionPtr revIDLastSave="0" documentId="8_{819E5161-5C3F-C547-8046-7D9765F798C8}" xr6:coauthVersionLast="47" xr6:coauthVersionMax="47" xr10:uidLastSave="{00000000-0000-0000-0000-000000000000}"/>
  <bookViews>
    <workbookView xWindow="16220" yWindow="-17980" windowWidth="19420" windowHeight="10420" xr2:uid="{94A75897-140F-43CE-90EF-2887489DB2C5}"/>
  </bookViews>
  <sheets>
    <sheet name="Najboljsi klub 2025" sheetId="13" r:id="rId1"/>
    <sheet name="ČLE" sheetId="1" r:id="rId2"/>
    <sheet name="ČLI" sheetId="12" r:id="rId3"/>
    <sheet name="JUE" sheetId="11" r:id="rId4"/>
    <sheet name="JUI" sheetId="10" r:id="rId5"/>
    <sheet name="MDE" sheetId="9" r:id="rId6"/>
    <sheet name="MDI" sheetId="8" r:id="rId7"/>
    <sheet name="MME" sheetId="7" r:id="rId8"/>
    <sheet name="MMI" sheetId="6" r:id="rId9"/>
    <sheet name="SDE" sheetId="5" r:id="rId10"/>
    <sheet name="SDI" sheetId="4" r:id="rId11"/>
    <sheet name="SME" sheetId="3" r:id="rId12"/>
    <sheet name="SMI" sheetId="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2" l="1"/>
  <c r="B3" i="12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2" i="11"/>
  <c r="B3" i="11"/>
  <c r="B4" i="11"/>
  <c r="B5" i="11"/>
  <c r="B6" i="11"/>
  <c r="B2" i="10"/>
  <c r="B3" i="10"/>
  <c r="B4" i="10"/>
  <c r="B5" i="10"/>
  <c r="B6" i="10"/>
  <c r="B7" i="10"/>
  <c r="B8" i="10"/>
  <c r="B9" i="10"/>
  <c r="B10" i="10"/>
  <c r="B11" i="10"/>
  <c r="B2" i="9"/>
  <c r="B3" i="9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2" i="8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2" i="7"/>
  <c r="B3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2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2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<sst xmlns="http://schemas.openxmlformats.org/spreadsheetml/2006/main" count="1215" uniqueCount="704">
  <si>
    <t>Mesto</t>
  </si>
  <si>
    <t>Šifra</t>
  </si>
  <si>
    <t>Priimek in ime</t>
  </si>
  <si>
    <t>Letnik</t>
  </si>
  <si>
    <t>Klub</t>
  </si>
  <si>
    <t>Točke</t>
  </si>
  <si>
    <t>MANDELJC Anja</t>
  </si>
  <si>
    <t>TSK Triglav Kranj</t>
  </si>
  <si>
    <t>48,00</t>
  </si>
  <si>
    <t>UREVC Eva</t>
  </si>
  <si>
    <t>ŠD Gorje</t>
  </si>
  <si>
    <t>69,92</t>
  </si>
  <si>
    <t>ŽERJAV Neža</t>
  </si>
  <si>
    <t>ND Rateče - Planica</t>
  </si>
  <si>
    <t>143,93</t>
  </si>
  <si>
    <t>MEDJA Lucija</t>
  </si>
  <si>
    <t>TSK Bled</t>
  </si>
  <si>
    <t>158,70</t>
  </si>
  <si>
    <t>JANEŽIČ Tia</t>
  </si>
  <si>
    <t>TSK JUB Dol pri Ljubljani</t>
  </si>
  <si>
    <t>162,74</t>
  </si>
  <si>
    <t>GROS Tinkara</t>
  </si>
  <si>
    <t>NŠD Medvode</t>
  </si>
  <si>
    <t>164,01</t>
  </si>
  <si>
    <t>LJUBIČ Nika</t>
  </si>
  <si>
    <t>165,43</t>
  </si>
  <si>
    <t>MOČNIK Eva</t>
  </si>
  <si>
    <t>373,89</t>
  </si>
  <si>
    <t>ŠEPIČ Zala</t>
  </si>
  <si>
    <t>410,55</t>
  </si>
  <si>
    <t>HODNIK Klara</t>
  </si>
  <si>
    <t>SK Brdo Ljubljana</t>
  </si>
  <si>
    <t>580,94</t>
  </si>
  <si>
    <t>ŠTERN Ana</t>
  </si>
  <si>
    <t>ŠD Oktan</t>
  </si>
  <si>
    <t>600,47</t>
  </si>
  <si>
    <t>HRŠAK Iva</t>
  </si>
  <si>
    <t>613,89</t>
  </si>
  <si>
    <t>DOLŽAN Tabea</t>
  </si>
  <si>
    <t>777,11</t>
  </si>
  <si>
    <t>999,99</t>
  </si>
  <si>
    <t>TORKAR Gašper</t>
  </si>
  <si>
    <t>(=)25</t>
  </si>
  <si>
    <t>JEZERŠEK Filip</t>
  </si>
  <si>
    <t>925,90</t>
  </si>
  <si>
    <t>BAVDAŽ Luka</t>
  </si>
  <si>
    <t>584,71</t>
  </si>
  <si>
    <t>LARISI Jure</t>
  </si>
  <si>
    <t>576,18</t>
  </si>
  <si>
    <t>MEGLIČ Drejc</t>
  </si>
  <si>
    <t>547,44</t>
  </si>
  <si>
    <t>SK Ihan</t>
  </si>
  <si>
    <t>KODER Svit</t>
  </si>
  <si>
    <t>540,37</t>
  </si>
  <si>
    <t>MEZEK Jaka</t>
  </si>
  <si>
    <t>527,45</t>
  </si>
  <si>
    <t>PILAR Jaka</t>
  </si>
  <si>
    <t>465,57</t>
  </si>
  <si>
    <t>KOLESNIKOV Dmitrii</t>
  </si>
  <si>
    <t>416,56</t>
  </si>
  <si>
    <t>EINHAUER Nejc</t>
  </si>
  <si>
    <t>386,75</t>
  </si>
  <si>
    <t>VOZELJ Lars</t>
  </si>
  <si>
    <t>381,71</t>
  </si>
  <si>
    <t>DUBNOV Alexandr</t>
  </si>
  <si>
    <t>319,36</t>
  </si>
  <si>
    <t>KOMATAR Jakob</t>
  </si>
  <si>
    <t>312,37</t>
  </si>
  <si>
    <t>REPE Ožbej</t>
  </si>
  <si>
    <t>310,53</t>
  </si>
  <si>
    <t>MEDVEŠEK Aljaž</t>
  </si>
  <si>
    <t>307,22</t>
  </si>
  <si>
    <t>ŽEMVA Timotej</t>
  </si>
  <si>
    <t>266,91</t>
  </si>
  <si>
    <t>POLJŠAK Jošt</t>
  </si>
  <si>
    <t>255,29</t>
  </si>
  <si>
    <t>SK Prisank</t>
  </si>
  <si>
    <t>MAROLT Lars</t>
  </si>
  <si>
    <t>251,86</t>
  </si>
  <si>
    <t>TSK Logatec</t>
  </si>
  <si>
    <t>NAGODE Ivo</t>
  </si>
  <si>
    <t>238,91</t>
  </si>
  <si>
    <t>OBLAK Vid</t>
  </si>
  <si>
    <t>238,14</t>
  </si>
  <si>
    <t>PLEŠNAR Miha</t>
  </si>
  <si>
    <t>226,67</t>
  </si>
  <si>
    <t>PREMERL Matic</t>
  </si>
  <si>
    <t>210,65</t>
  </si>
  <si>
    <t>RUPNIK Gregor</t>
  </si>
  <si>
    <t>190,54</t>
  </si>
  <si>
    <t>MESNER Tine</t>
  </si>
  <si>
    <t>182,56</t>
  </si>
  <si>
    <t>TIČAR Ažbe</t>
  </si>
  <si>
    <t>142,85</t>
  </si>
  <si>
    <t>ŠPORN Tine</t>
  </si>
  <si>
    <t>TSK Idrija</t>
  </si>
  <si>
    <t>NOVAK Ivana Rosa</t>
  </si>
  <si>
    <t>(=)28</t>
  </si>
  <si>
    <t>JEZERŠEK Eva</t>
  </si>
  <si>
    <t>963,91</t>
  </si>
  <si>
    <t>BERGEL Tifani</t>
  </si>
  <si>
    <t>816,29</t>
  </si>
  <si>
    <t>MLAKAR Ines</t>
  </si>
  <si>
    <t>756,22</t>
  </si>
  <si>
    <t>MAJER Maša</t>
  </si>
  <si>
    <t>703,32</t>
  </si>
  <si>
    <t>KRIVIC Maruša</t>
  </si>
  <si>
    <t>652,09</t>
  </si>
  <si>
    <t>TIČAR Ida</t>
  </si>
  <si>
    <t>646,82</t>
  </si>
  <si>
    <t>TSK Rogla</t>
  </si>
  <si>
    <t>OGRIN Nika</t>
  </si>
  <si>
    <t>579,04</t>
  </si>
  <si>
    <t>SK Cerknica</t>
  </si>
  <si>
    <t>PELAN Nika</t>
  </si>
  <si>
    <t>578,92</t>
  </si>
  <si>
    <t>KOBENTAR Manca</t>
  </si>
  <si>
    <t>577,36</t>
  </si>
  <si>
    <t>REŠEK Kiara</t>
  </si>
  <si>
    <t>563,59</t>
  </si>
  <si>
    <t>TROST Manja</t>
  </si>
  <si>
    <t>545,02</t>
  </si>
  <si>
    <t>SK Loška dolina</t>
  </si>
  <si>
    <t>ŠEBENIK Anja</t>
  </si>
  <si>
    <t>462,04</t>
  </si>
  <si>
    <t>RODE Monika</t>
  </si>
  <si>
    <t>438,18</t>
  </si>
  <si>
    <t>KAVALAR Jana</t>
  </si>
  <si>
    <t>399,21</t>
  </si>
  <si>
    <t>SEKAVČNIK Urška</t>
  </si>
  <si>
    <t>396,06</t>
  </si>
  <si>
    <t>ŠOLAR Maša</t>
  </si>
  <si>
    <t>378,27</t>
  </si>
  <si>
    <t>BIJOL Živa</t>
  </si>
  <si>
    <t>320,27</t>
  </si>
  <si>
    <t>BERNARD Julija</t>
  </si>
  <si>
    <t>309,12</t>
  </si>
  <si>
    <t>FEČUR Lucija</t>
  </si>
  <si>
    <t>307,20</t>
  </si>
  <si>
    <t>PREMOŽE Maruša</t>
  </si>
  <si>
    <t>293,16</t>
  </si>
  <si>
    <t>MIŠIČ Eva</t>
  </si>
  <si>
    <t>269,13</t>
  </si>
  <si>
    <t>NOVOTNA Klara</t>
  </si>
  <si>
    <t>256,76</t>
  </si>
  <si>
    <t>ŠETINA Tina</t>
  </si>
  <si>
    <t>225,46</t>
  </si>
  <si>
    <t>NORDIJSKI CENTER BLOKE</t>
  </si>
  <si>
    <t>KOGELNIK Neli</t>
  </si>
  <si>
    <t>218,96</t>
  </si>
  <si>
    <t>HITREC Julija</t>
  </si>
  <si>
    <t>178,60</t>
  </si>
  <si>
    <t>KASTELEC Mija</t>
  </si>
  <si>
    <t>177,08</t>
  </si>
  <si>
    <t>KUHAR Ula</t>
  </si>
  <si>
    <t>169,81</t>
  </si>
  <si>
    <t>ZUPAN Zala</t>
  </si>
  <si>
    <t>MARKOVIČ Erazem</t>
  </si>
  <si>
    <t>(=)39</t>
  </si>
  <si>
    <t>OSTERMAN Erik</t>
  </si>
  <si>
    <t>PEČAR PREVEC Maks</t>
  </si>
  <si>
    <t>PLEŠKO Gašper</t>
  </si>
  <si>
    <t>889,47</t>
  </si>
  <si>
    <t>KRAŠEVEC Andrej</t>
  </si>
  <si>
    <t>883,92</t>
  </si>
  <si>
    <t>ŠKULJ Lenart</t>
  </si>
  <si>
    <t>872,07</t>
  </si>
  <si>
    <t>SHEVCENKO Efim</t>
  </si>
  <si>
    <t>845,04</t>
  </si>
  <si>
    <t>KONUŠEK Miha</t>
  </si>
  <si>
    <t>832,45</t>
  </si>
  <si>
    <t>GREGORI Aljaž</t>
  </si>
  <si>
    <t>826,89</t>
  </si>
  <si>
    <t>OSTERC Maksimiljan</t>
  </si>
  <si>
    <t>814,29</t>
  </si>
  <si>
    <t>BARAGA Vid</t>
  </si>
  <si>
    <t>800,41</t>
  </si>
  <si>
    <t>BREZIGAR Žiga</t>
  </si>
  <si>
    <t>792,79</t>
  </si>
  <si>
    <t>RADEJ Nik</t>
  </si>
  <si>
    <t>791,66</t>
  </si>
  <si>
    <t>BERNARD Žiga</t>
  </si>
  <si>
    <t>738,57</t>
  </si>
  <si>
    <t>ČRMELJ Val</t>
  </si>
  <si>
    <t>725,19</t>
  </si>
  <si>
    <t>GODINA Enej</t>
  </si>
  <si>
    <t>723,24</t>
  </si>
  <si>
    <t>TSD Olimpija Bloke</t>
  </si>
  <si>
    <t>BAVEC Matej</t>
  </si>
  <si>
    <t>695,54</t>
  </si>
  <si>
    <t>SEVER Kristian</t>
  </si>
  <si>
    <t>688,85</t>
  </si>
  <si>
    <t>PETRIČ Tai</t>
  </si>
  <si>
    <t>674,59</t>
  </si>
  <si>
    <t>TRČEK Brin</t>
  </si>
  <si>
    <t>650,44</t>
  </si>
  <si>
    <t>JUVANČIČ Jakob</t>
  </si>
  <si>
    <t>625,89</t>
  </si>
  <si>
    <t>MIŠIČ Jure</t>
  </si>
  <si>
    <t>621,64</t>
  </si>
  <si>
    <t>HERNAUS Maks</t>
  </si>
  <si>
    <t>614,23</t>
  </si>
  <si>
    <t>REPNIK Anže</t>
  </si>
  <si>
    <t>598,33</t>
  </si>
  <si>
    <t>POGOREVC Luka</t>
  </si>
  <si>
    <t>586,33</t>
  </si>
  <si>
    <t>KOROŠEC Matija</t>
  </si>
  <si>
    <t>584,88</t>
  </si>
  <si>
    <t>ULE Vitan</t>
  </si>
  <si>
    <t>578,69</t>
  </si>
  <si>
    <t>REBOLJ Bor</t>
  </si>
  <si>
    <t>576,38</t>
  </si>
  <si>
    <t>BERDAJS Matic</t>
  </si>
  <si>
    <t>573,32</t>
  </si>
  <si>
    <t>ŠALEHAR Maks</t>
  </si>
  <si>
    <t>563,48</t>
  </si>
  <si>
    <t>STOŠICKI Jakob</t>
  </si>
  <si>
    <t>545,68</t>
  </si>
  <si>
    <t>HARNOLD ŠVAJGER Mark</t>
  </si>
  <si>
    <t>542,55</t>
  </si>
  <si>
    <t>SD Bohinj</t>
  </si>
  <si>
    <t>KOREN Nik</t>
  </si>
  <si>
    <t>541,39</t>
  </si>
  <si>
    <t>ŠALEHAR Jaka</t>
  </si>
  <si>
    <t>535,30</t>
  </si>
  <si>
    <t>ZVEN Ambrož</t>
  </si>
  <si>
    <t>522,98</t>
  </si>
  <si>
    <t>CMREČNJAK Jakob</t>
  </si>
  <si>
    <t>517,56</t>
  </si>
  <si>
    <t>POKLUKAR Jakob</t>
  </si>
  <si>
    <t>502,37</t>
  </si>
  <si>
    <t>KASTELEC Vid</t>
  </si>
  <si>
    <t>481,28</t>
  </si>
  <si>
    <t>GOMILAR Jakob</t>
  </si>
  <si>
    <t>469,82</t>
  </si>
  <si>
    <t>JAN Filip Mario</t>
  </si>
  <si>
    <t>468,23</t>
  </si>
  <si>
    <t>ŠUŠTERŠIČ Tone</t>
  </si>
  <si>
    <t>434,64</t>
  </si>
  <si>
    <t>JEVTIĆ Uroš</t>
  </si>
  <si>
    <t>ŠRAJ Ela</t>
  </si>
  <si>
    <t>928,96</t>
  </si>
  <si>
    <t>LOŽAR Polona</t>
  </si>
  <si>
    <t>897,05</t>
  </si>
  <si>
    <t>VAJDIČ Mila</t>
  </si>
  <si>
    <t>866,86</t>
  </si>
  <si>
    <t>MODEC Lea</t>
  </si>
  <si>
    <t>854,67</t>
  </si>
  <si>
    <t>ŽNIDARŠIČ Klara</t>
  </si>
  <si>
    <t>851,11</t>
  </si>
  <si>
    <t>JAKŠA Tinkara</t>
  </si>
  <si>
    <t>818,88</t>
  </si>
  <si>
    <t>JENSTERLE Lucija</t>
  </si>
  <si>
    <t>743,46</t>
  </si>
  <si>
    <t>PERTNAČ Tinkara</t>
  </si>
  <si>
    <t>736,94</t>
  </si>
  <si>
    <t>MEDJA Julija</t>
  </si>
  <si>
    <t>705,10</t>
  </si>
  <si>
    <t>HACE Kleia</t>
  </si>
  <si>
    <t>633,39</t>
  </si>
  <si>
    <t>CERAR Patricija</t>
  </si>
  <si>
    <t>627,47</t>
  </si>
  <si>
    <t>BERGANT Nuša</t>
  </si>
  <si>
    <t>605,23</t>
  </si>
  <si>
    <t>PRIMOŽIČ Tija</t>
  </si>
  <si>
    <t>589,56</t>
  </si>
  <si>
    <t>BIJOL Neža</t>
  </si>
  <si>
    <t>583,62</t>
  </si>
  <si>
    <t>ZIDAR Lana</t>
  </si>
  <si>
    <t>580,55</t>
  </si>
  <si>
    <t>VOH Iva</t>
  </si>
  <si>
    <t>576,79</t>
  </si>
  <si>
    <t>LUKAN Nina</t>
  </si>
  <si>
    <t>554,87</t>
  </si>
  <si>
    <t>VELEPEC Lea</t>
  </si>
  <si>
    <t>538,95</t>
  </si>
  <si>
    <t>ŠUŠTERŠIČ Astrid</t>
  </si>
  <si>
    <t>526,13</t>
  </si>
  <si>
    <t>ŠETINA Lara</t>
  </si>
  <si>
    <t>525,86</t>
  </si>
  <si>
    <t>MEZEK Tamara</t>
  </si>
  <si>
    <t>519,29</t>
  </si>
  <si>
    <t>ČERIN Katja</t>
  </si>
  <si>
    <t>517,50</t>
  </si>
  <si>
    <t>KOGELNIK Živa</t>
  </si>
  <si>
    <t>516,94</t>
  </si>
  <si>
    <t>HUDOKLIN Noemi Liza</t>
  </si>
  <si>
    <t>513,22</t>
  </si>
  <si>
    <t>PEČENIK Neža</t>
  </si>
  <si>
    <t>503,13</t>
  </si>
  <si>
    <t>CERAR Lucija</t>
  </si>
  <si>
    <t>493,53</t>
  </si>
  <si>
    <t>GLAD Neža</t>
  </si>
  <si>
    <t>484,40</t>
  </si>
  <si>
    <t>ŽEMVA Tadeja</t>
  </si>
  <si>
    <t>475,16</t>
  </si>
  <si>
    <t>NOVAK PREVEC Neja</t>
  </si>
  <si>
    <t>469,53</t>
  </si>
  <si>
    <t>EINHAUER Neža</t>
  </si>
  <si>
    <t>431,48</t>
  </si>
  <si>
    <t>BRLEC Katarina</t>
  </si>
  <si>
    <t>425,20</t>
  </si>
  <si>
    <t>PAVŠIČ Neža</t>
  </si>
  <si>
    <t>424,46</t>
  </si>
  <si>
    <t>ŽEMVA Ema</t>
  </si>
  <si>
    <t>KOSEM ROVAN Marcel</t>
  </si>
  <si>
    <t>(=)36</t>
  </si>
  <si>
    <t>LUNGMUSS Marvin</t>
  </si>
  <si>
    <t>MARKOVIČ Filip</t>
  </si>
  <si>
    <t>PREDANIČ Luka</t>
  </si>
  <si>
    <t>847,52</t>
  </si>
  <si>
    <t>ŠPORN Drejc</t>
  </si>
  <si>
    <t>833,97</t>
  </si>
  <si>
    <t>MRAK Ožbej</t>
  </si>
  <si>
    <t>744,23</t>
  </si>
  <si>
    <t>ČAVLOVIČ Žan Mark</t>
  </si>
  <si>
    <t>685,86</t>
  </si>
  <si>
    <t>HITREC Lovro</t>
  </si>
  <si>
    <t>669,47</t>
  </si>
  <si>
    <t>MARKOVIČ Erik</t>
  </si>
  <si>
    <t>615,42</t>
  </si>
  <si>
    <t>ŠLUGA Lev</t>
  </si>
  <si>
    <t>610,80</t>
  </si>
  <si>
    <t>JENKO Lovro</t>
  </si>
  <si>
    <t>549,53</t>
  </si>
  <si>
    <t>LOŽAR Andraž</t>
  </si>
  <si>
    <t>547,35</t>
  </si>
  <si>
    <t>POGOREVC Jošt</t>
  </si>
  <si>
    <t>535,24</t>
  </si>
  <si>
    <t>SUŠA Mark</t>
  </si>
  <si>
    <t>530,45</t>
  </si>
  <si>
    <t>STANONIK Ožbej</t>
  </si>
  <si>
    <t>511,04</t>
  </si>
  <si>
    <t>TWRDY Brin</t>
  </si>
  <si>
    <t>495,45</t>
  </si>
  <si>
    <t>FLORJANC SIRŠE Lenart</t>
  </si>
  <si>
    <t>478,23</t>
  </si>
  <si>
    <t>DROBEŽ HVALA Val</t>
  </si>
  <si>
    <t>466,53</t>
  </si>
  <si>
    <t>PAVLIN Nik</t>
  </si>
  <si>
    <t>461,66</t>
  </si>
  <si>
    <t>ŠRAJ Jernej</t>
  </si>
  <si>
    <t>459,64</t>
  </si>
  <si>
    <t>VELEPEC Max</t>
  </si>
  <si>
    <t>446,90</t>
  </si>
  <si>
    <t>PREDANIČ Jaka</t>
  </si>
  <si>
    <t>416,81</t>
  </si>
  <si>
    <t>RUPNIK Drejc</t>
  </si>
  <si>
    <t>412,27</t>
  </si>
  <si>
    <t>HUDOKLIN Matic</t>
  </si>
  <si>
    <t>409,86</t>
  </si>
  <si>
    <t>MEGLIČ Tjaš</t>
  </si>
  <si>
    <t>394,03</t>
  </si>
  <si>
    <t>POKLUKAR Lovro</t>
  </si>
  <si>
    <t>380,50</t>
  </si>
  <si>
    <t>NOVAK Gal</t>
  </si>
  <si>
    <t>371,11</t>
  </si>
  <si>
    <t>FEČUR Klemen</t>
  </si>
  <si>
    <t>369,44</t>
  </si>
  <si>
    <t>HAFNER Jakob</t>
  </si>
  <si>
    <t>367,69</t>
  </si>
  <si>
    <t>JUDEŽ Jaša</t>
  </si>
  <si>
    <t>342,66</t>
  </si>
  <si>
    <t>MOZETIČ Srečko Matic</t>
  </si>
  <si>
    <t>340,42</t>
  </si>
  <si>
    <t>MESNER Nejc</t>
  </si>
  <si>
    <t>322,94</t>
  </si>
  <si>
    <t>OJSTERŠEK Izak</t>
  </si>
  <si>
    <t>320,88</t>
  </si>
  <si>
    <t>DOLŽAN Tjaž</t>
  </si>
  <si>
    <t>302,28</t>
  </si>
  <si>
    <t>ROBIČ Žiga</t>
  </si>
  <si>
    <t>297,55</t>
  </si>
  <si>
    <t>MAROLT Val</t>
  </si>
  <si>
    <t>283,85</t>
  </si>
  <si>
    <t>ŠILAR Urh</t>
  </si>
  <si>
    <t>263,27</t>
  </si>
  <si>
    <t>PETROVIČ Tine</t>
  </si>
  <si>
    <t>244,20</t>
  </si>
  <si>
    <t>BERDAJS Jaka</t>
  </si>
  <si>
    <t>DOLENC Ula</t>
  </si>
  <si>
    <t>(=)33</t>
  </si>
  <si>
    <t>ŠTIMAC Gaja</t>
  </si>
  <si>
    <t>KUŠER Zala</t>
  </si>
  <si>
    <t>971,68</t>
  </si>
  <si>
    <t>RUPNIK Lara</t>
  </si>
  <si>
    <t>958,78</t>
  </si>
  <si>
    <t>ŠTENDLER BEGUŠ Živa</t>
  </si>
  <si>
    <t>919,13</t>
  </si>
  <si>
    <t>JERAŠA Tjaša</t>
  </si>
  <si>
    <t>906,89</t>
  </si>
  <si>
    <t>BAVDAŽ Ela</t>
  </si>
  <si>
    <t>723,60</t>
  </si>
  <si>
    <t>Skike klub Slovenija</t>
  </si>
  <si>
    <t>GROGL Ronja</t>
  </si>
  <si>
    <t>718,65</t>
  </si>
  <si>
    <t>MORI Neža</t>
  </si>
  <si>
    <t>716,78</t>
  </si>
  <si>
    <t>TARIČ Ela Ota</t>
  </si>
  <si>
    <t>647,75</t>
  </si>
  <si>
    <t>KASTELIC Živa</t>
  </si>
  <si>
    <t>633,67</t>
  </si>
  <si>
    <t>DRAGAR Zoja</t>
  </si>
  <si>
    <t>610,47</t>
  </si>
  <si>
    <t>KOREN Sara</t>
  </si>
  <si>
    <t>608,19</t>
  </si>
  <si>
    <t>ULE Julija</t>
  </si>
  <si>
    <t>600,46</t>
  </si>
  <si>
    <t>LIPOVEC Špela</t>
  </si>
  <si>
    <t>530,91</t>
  </si>
  <si>
    <t>GROŠELJ Katarina</t>
  </si>
  <si>
    <t>511,69</t>
  </si>
  <si>
    <t>VOH Vita</t>
  </si>
  <si>
    <t>484,74</t>
  </si>
  <si>
    <t>LOGONDER Karmen</t>
  </si>
  <si>
    <t>470,37</t>
  </si>
  <si>
    <t>JURŠIČ Žana</t>
  </si>
  <si>
    <t>447,62</t>
  </si>
  <si>
    <t>KAVČIČ Hanna</t>
  </si>
  <si>
    <t>439,57</t>
  </si>
  <si>
    <t>SSK Triglav Kranj</t>
  </si>
  <si>
    <t>LIKOZAR BRANKOVIČ Maša</t>
  </si>
  <si>
    <t>439,04</t>
  </si>
  <si>
    <t>LARISI Neža</t>
  </si>
  <si>
    <t>425,41</t>
  </si>
  <si>
    <t>KAVČIČ Ema</t>
  </si>
  <si>
    <t>425,29</t>
  </si>
  <si>
    <t>VALJAVEC Klara</t>
  </si>
  <si>
    <t>425,01</t>
  </si>
  <si>
    <t>BLAZNIK Naja</t>
  </si>
  <si>
    <t>393,97</t>
  </si>
  <si>
    <t>BERGANT Špela</t>
  </si>
  <si>
    <t>391,97</t>
  </si>
  <si>
    <t>EINHAUER Nika</t>
  </si>
  <si>
    <t>367,84</t>
  </si>
  <si>
    <t>KREMESEC AVRAMOVIČ Lučka</t>
  </si>
  <si>
    <t>347,86</t>
  </si>
  <si>
    <t>JELENC Ajda</t>
  </si>
  <si>
    <t>330,75</t>
  </si>
  <si>
    <t>BRUS Julija</t>
  </si>
  <si>
    <t>329,37</t>
  </si>
  <si>
    <t>TOMAŽEVIČ Mirjam</t>
  </si>
  <si>
    <t>325,76</t>
  </si>
  <si>
    <t>TORKAR Tara</t>
  </si>
  <si>
    <t>321,83</t>
  </si>
  <si>
    <t>ŽIBERT Manca</t>
  </si>
  <si>
    <t>295,87</t>
  </si>
  <si>
    <t>SITAR Tinkara</t>
  </si>
  <si>
    <t>277,39</t>
  </si>
  <si>
    <t>MOZETIČ Meta</t>
  </si>
  <si>
    <t>SITAR Anton Jon</t>
  </si>
  <si>
    <t>(=)22</t>
  </si>
  <si>
    <t>DEBELJAK Jaka</t>
  </si>
  <si>
    <t>VIRANT Jaša</t>
  </si>
  <si>
    <t>MEDVEŠEK Anže</t>
  </si>
  <si>
    <t>ZALAR Jakob</t>
  </si>
  <si>
    <t>MALIĆ Nikola</t>
  </si>
  <si>
    <t>ŽIGON Maj</t>
  </si>
  <si>
    <t>KAFOL Miha</t>
  </si>
  <si>
    <t>GRAHEK Luka</t>
  </si>
  <si>
    <t>NOVAK KOLENKO Aljaž</t>
  </si>
  <si>
    <t>OREHEK Bor</t>
  </si>
  <si>
    <t>BOČKO Oskar</t>
  </si>
  <si>
    <t>BRLEC Luka</t>
  </si>
  <si>
    <t>ORTAR Nace</t>
  </si>
  <si>
    <t>VOH Matevž</t>
  </si>
  <si>
    <t>HITREC Jakob</t>
  </si>
  <si>
    <t>BRAČKO Marko</t>
  </si>
  <si>
    <t>KASTELIC Nejc</t>
  </si>
  <si>
    <t>946,18</t>
  </si>
  <si>
    <t>POKLUKAR Miha</t>
  </si>
  <si>
    <t>921,46</t>
  </si>
  <si>
    <t>MEDVEŠEK Simeon</t>
  </si>
  <si>
    <t>900,40</t>
  </si>
  <si>
    <t>JAKŠA Martin</t>
  </si>
  <si>
    <t>874,57</t>
  </si>
  <si>
    <t>MEGLIČ Žak</t>
  </si>
  <si>
    <t>833,25</t>
  </si>
  <si>
    <t>KOVŠCA Andrej</t>
  </si>
  <si>
    <t>816,27</t>
  </si>
  <si>
    <t>KOROŠEC Bor</t>
  </si>
  <si>
    <t>815,67</t>
  </si>
  <si>
    <t>BAUER Aksel</t>
  </si>
  <si>
    <t>780,55</t>
  </si>
  <si>
    <t>KALJEVIČ Mark</t>
  </si>
  <si>
    <t>753,01</t>
  </si>
  <si>
    <t>KISOVEC Lan</t>
  </si>
  <si>
    <t>752,28</t>
  </si>
  <si>
    <t>TOMŠIČ Gašper</t>
  </si>
  <si>
    <t>732,60</t>
  </si>
  <si>
    <t>FRANJIĆ Matej</t>
  </si>
  <si>
    <t>719,27</t>
  </si>
  <si>
    <t>SHAVRIN Petr</t>
  </si>
  <si>
    <t>716,33</t>
  </si>
  <si>
    <t>ČIČ Jakob</t>
  </si>
  <si>
    <t>706,82</t>
  </si>
  <si>
    <t>GUNČAR Jonas</t>
  </si>
  <si>
    <t>691,35</t>
  </si>
  <si>
    <t>MARINŠEK Oskar</t>
  </si>
  <si>
    <t>651,84</t>
  </si>
  <si>
    <t>VIRANT Ruben</t>
  </si>
  <si>
    <t>633,32</t>
  </si>
  <si>
    <t>ŠPELIČ Nejc</t>
  </si>
  <si>
    <t>625,46</t>
  </si>
  <si>
    <t>ŽEMVA Enej</t>
  </si>
  <si>
    <t>600,93</t>
  </si>
  <si>
    <t>NOVAK Bor</t>
  </si>
  <si>
    <t>539,39</t>
  </si>
  <si>
    <t>JEVTIĆ Vid</t>
  </si>
  <si>
    <t>532,00</t>
  </si>
  <si>
    <t>PRETNAR Bjorn</t>
  </si>
  <si>
    <t>ZAGORŠEK Ajda</t>
  </si>
  <si>
    <t>(=)26</t>
  </si>
  <si>
    <t>CUZNAR Ela</t>
  </si>
  <si>
    <t>PAVŠIČ Ajda</t>
  </si>
  <si>
    <t>ALŽBETA ZALETEL  Johanna</t>
  </si>
  <si>
    <t>JEREB Iza Ana</t>
  </si>
  <si>
    <t>PEROVŠEK Brina</t>
  </si>
  <si>
    <t>JUDEŽ Ula</t>
  </si>
  <si>
    <t>ŠPROHAR Kaja</t>
  </si>
  <si>
    <t>REMIC Maruša</t>
  </si>
  <si>
    <t>PLOS Mia</t>
  </si>
  <si>
    <t>LAZAR Nika</t>
  </si>
  <si>
    <t>VIDRIH Hana</t>
  </si>
  <si>
    <t>MEDVEŠEK Lučka</t>
  </si>
  <si>
    <t>MARINŠEK Gaja</t>
  </si>
  <si>
    <t>PETRIČ Ema</t>
  </si>
  <si>
    <t>ASD Mladina Trst</t>
  </si>
  <si>
    <t>KRALJ Ana</t>
  </si>
  <si>
    <t>GOSTIČ Lara</t>
  </si>
  <si>
    <t>PESTOTNIK SEDEJ Eva</t>
  </si>
  <si>
    <t>KOZLOVIČ Žana</t>
  </si>
  <si>
    <t>ROZMAN Helena</t>
  </si>
  <si>
    <t>987,24</t>
  </si>
  <si>
    <t>GREGORI Anja</t>
  </si>
  <si>
    <t>987,21</t>
  </si>
  <si>
    <t>BUCAJ Brina</t>
  </si>
  <si>
    <t>985,73</t>
  </si>
  <si>
    <t>REMIC Tjaša</t>
  </si>
  <si>
    <t>963,46</t>
  </si>
  <si>
    <t>RADEJ Iza</t>
  </si>
  <si>
    <t>958,47</t>
  </si>
  <si>
    <t>MEGLIČ Zoja</t>
  </si>
  <si>
    <t>957,74</t>
  </si>
  <si>
    <t>GROS Monika</t>
  </si>
  <si>
    <t>943,04</t>
  </si>
  <si>
    <t>MATOŠEVIĆ Zoja</t>
  </si>
  <si>
    <t>935,75</t>
  </si>
  <si>
    <t>BUCAJ Vesna</t>
  </si>
  <si>
    <t>923,49</t>
  </si>
  <si>
    <t>CAJHEN Zoja</t>
  </si>
  <si>
    <t>871,06</t>
  </si>
  <si>
    <t>MRAK Anika</t>
  </si>
  <si>
    <t>869,83</t>
  </si>
  <si>
    <t>GRILJ Tinkara</t>
  </si>
  <si>
    <t>849,60</t>
  </si>
  <si>
    <t>ŠUŠTERŠIČ Mija</t>
  </si>
  <si>
    <t>845,27</t>
  </si>
  <si>
    <t>BREZIGAR Brina</t>
  </si>
  <si>
    <t>828,33</t>
  </si>
  <si>
    <t>VOH Ana</t>
  </si>
  <si>
    <t>820,34</t>
  </si>
  <si>
    <t>HAFNER Julija</t>
  </si>
  <si>
    <t>818,10</t>
  </si>
  <si>
    <t>VERDNIK Mila</t>
  </si>
  <si>
    <t>804,49</t>
  </si>
  <si>
    <t>SELIŠKAR Nana</t>
  </si>
  <si>
    <t>790,91</t>
  </si>
  <si>
    <t>MEZEK Sara</t>
  </si>
  <si>
    <t>758,58</t>
  </si>
  <si>
    <t>POKLUKAR Katja</t>
  </si>
  <si>
    <t>758,48</t>
  </si>
  <si>
    <t>NOVAK Ana</t>
  </si>
  <si>
    <t>754,55</t>
  </si>
  <si>
    <t>CMREČNJAK Neža</t>
  </si>
  <si>
    <t>720,06</t>
  </si>
  <si>
    <t>SITAR Neža</t>
  </si>
  <si>
    <t>713,75</t>
  </si>
  <si>
    <t>RUPNIK Živa</t>
  </si>
  <si>
    <t>680,64</t>
  </si>
  <si>
    <t>KURALT Hana</t>
  </si>
  <si>
    <t>672,74</t>
  </si>
  <si>
    <t>JURŠIČ Brina</t>
  </si>
  <si>
    <t>809,38</t>
  </si>
  <si>
    <t>POGAČNIK Jan</t>
  </si>
  <si>
    <t>409,17</t>
  </si>
  <si>
    <t>GROŠELJ Timotej</t>
  </si>
  <si>
    <t>363,66</t>
  </si>
  <si>
    <t>SELIŠKAR Jon</t>
  </si>
  <si>
    <t>330,23</t>
  </si>
  <si>
    <t>COSTANTINI Mark</t>
  </si>
  <si>
    <t>268,86</t>
  </si>
  <si>
    <t>BORIČ Maj</t>
  </si>
  <si>
    <t>266,70</t>
  </si>
  <si>
    <t>ŽIBERT Matic</t>
  </si>
  <si>
    <t>179,49</t>
  </si>
  <si>
    <t>KARNIČAR Lovrenc</t>
  </si>
  <si>
    <t>173,35</t>
  </si>
  <si>
    <t>MARINKO Jaka</t>
  </si>
  <si>
    <t>145,51</t>
  </si>
  <si>
    <t>PETROVIČ Bor</t>
  </si>
  <si>
    <t>138,86</t>
  </si>
  <si>
    <t>LAVRIČ PREGELJ Philip Yazbeck</t>
  </si>
  <si>
    <t>606,75</t>
  </si>
  <si>
    <t>HITI Lara</t>
  </si>
  <si>
    <t>503,94</t>
  </si>
  <si>
    <t>KAVČIČ Ulla</t>
  </si>
  <si>
    <t>419,36</t>
  </si>
  <si>
    <t>PREZELJ Vita</t>
  </si>
  <si>
    <t>324,41</t>
  </si>
  <si>
    <t>CASERMAN Manca</t>
  </si>
  <si>
    <t>206,99</t>
  </si>
  <si>
    <t>MELIHEN Živa</t>
  </si>
  <si>
    <t>705,77</t>
  </si>
  <si>
    <t>STANONIK Erazem</t>
  </si>
  <si>
    <t>672,83</t>
  </si>
  <si>
    <t>MARKELJ DOVŽAN Lovro</t>
  </si>
  <si>
    <t>639,04</t>
  </si>
  <si>
    <t>ŠENK Tit</t>
  </si>
  <si>
    <t>631,65</t>
  </si>
  <si>
    <t>LAVRIČ PREGELJ Žan Yazbeck</t>
  </si>
  <si>
    <t>609,32</t>
  </si>
  <si>
    <t>KOŽUH Aljaž</t>
  </si>
  <si>
    <t>531,65</t>
  </si>
  <si>
    <t>ŽNIDARIČ Franci</t>
  </si>
  <si>
    <t>530,80</t>
  </si>
  <si>
    <t>SKOK Domen</t>
  </si>
  <si>
    <t>473,26</t>
  </si>
  <si>
    <t>ŽELEZNIKAR Jani</t>
  </si>
  <si>
    <t>471,72</t>
  </si>
  <si>
    <t>ŠPORN Miha</t>
  </si>
  <si>
    <t>464,59</t>
  </si>
  <si>
    <t>KOZAN Žan</t>
  </si>
  <si>
    <t>404,33</t>
  </si>
  <si>
    <t>MALOVRH Patrik</t>
  </si>
  <si>
    <t>383,40</t>
  </si>
  <si>
    <t>ŠRAJ Nejc</t>
  </si>
  <si>
    <t>374,23</t>
  </si>
  <si>
    <t>FROLOV Dmitrii</t>
  </si>
  <si>
    <t>332,10</t>
  </si>
  <si>
    <t>MUHIČ David</t>
  </si>
  <si>
    <t>274,96</t>
  </si>
  <si>
    <t>TRSTENJAK Branko</t>
  </si>
  <si>
    <t>274,82</t>
  </si>
  <si>
    <t>KRAČMAN Jaka</t>
  </si>
  <si>
    <t>264,90</t>
  </si>
  <si>
    <t>MUHIČ Aleks</t>
  </si>
  <si>
    <t>229,10</t>
  </si>
  <si>
    <t>BAUER Klemen</t>
  </si>
  <si>
    <t>203,48</t>
  </si>
  <si>
    <t>NK - Nordijska kombinacija</t>
  </si>
  <si>
    <t>VRHOVNIK Vid</t>
  </si>
  <si>
    <t>197,06</t>
  </si>
  <si>
    <t>MULEJ Jošt</t>
  </si>
  <si>
    <t>193,76</t>
  </si>
  <si>
    <t>MILOSAVLJEVIĆ Miloš</t>
  </si>
  <si>
    <t>190,68</t>
  </si>
  <si>
    <t>GROS Gal</t>
  </si>
  <si>
    <t>168,82</t>
  </si>
  <si>
    <t>POTOČNIK Domen</t>
  </si>
  <si>
    <t>149,41</t>
  </si>
  <si>
    <t>HLADNIK Matic</t>
  </si>
  <si>
    <t>141,08</t>
  </si>
  <si>
    <t>MARINKO Matevž</t>
  </si>
  <si>
    <t>127,66</t>
  </si>
  <si>
    <t>GAVRIČ Mark</t>
  </si>
  <si>
    <t>113,74</t>
  </si>
  <si>
    <t>MOČNIK Martin</t>
  </si>
  <si>
    <t>81,39</t>
  </si>
  <si>
    <t>GROS Anže</t>
  </si>
  <si>
    <t>76,24</t>
  </si>
  <si>
    <t>GONTAR Valerii</t>
  </si>
  <si>
    <t>56,95</t>
  </si>
  <si>
    <t>LIČEF Miha</t>
  </si>
  <si>
    <t>53,26</t>
  </si>
  <si>
    <t>ČRV Vili</t>
  </si>
  <si>
    <t>52,41</t>
  </si>
  <si>
    <t>ŠTERN Nejc</t>
  </si>
  <si>
    <t>44,62</t>
  </si>
  <si>
    <t>ŠIMENC Miha</t>
  </si>
  <si>
    <t>OLI</t>
  </si>
  <si>
    <t>LOŽ</t>
  </si>
  <si>
    <t>BOH</t>
  </si>
  <si>
    <t>BRD</t>
  </si>
  <si>
    <t>ROG</t>
  </si>
  <si>
    <t>VRH</t>
  </si>
  <si>
    <t>SKS</t>
  </si>
  <si>
    <t>OKT</t>
  </si>
  <si>
    <t>CER</t>
  </si>
  <si>
    <t>IHA</t>
  </si>
  <si>
    <t>IDR</t>
  </si>
  <si>
    <t>NCB</t>
  </si>
  <si>
    <t>BLE</t>
  </si>
  <si>
    <t>LOG</t>
  </si>
  <si>
    <t>GOR</t>
  </si>
  <si>
    <t>KRA</t>
  </si>
  <si>
    <t>PLA</t>
  </si>
  <si>
    <t>JUB</t>
  </si>
  <si>
    <t>MED</t>
  </si>
  <si>
    <t>Ž+M</t>
  </si>
  <si>
    <t>M</t>
  </si>
  <si>
    <t>Ž</t>
  </si>
  <si>
    <t>Naziv</t>
  </si>
  <si>
    <t>Oznaka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</si>
</sst>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000"/>
  </numFmts>
  <fonts count="4" x14ac:knownFonts="1">
    <font>
      <sz val="11"/>
      <color theme="1"/>
      <name val="Aptos Narrow"/>
      <family val="2"/>
      <charset val="238"/>
      <scheme val="minor"/>
    </font>
    <font>
      <b/>
      <sz val="10"/>
      <color theme="1"/>
      <name val="Arial"/>
      <family val="2"/>
    </font>
    <font>
      <sz val="10"/>
      <color theme="1"/>
      <name val="Aptos Narrow"/>
      <family val="2"/>
      <charset val="238"/>
      <scheme val="minor"/>
    </font>
    <font>
      <b/>
      <sz val="9"/>
      <color theme="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shrinkToFit="1"/>
    </xf>
    <xf numFmtId="0" fontId="1" fillId="0" borderId="0" xfId="0" applyFont="1" applyAlignment="1">
      <alignment shrinkToFit="1"/>
    </xf>
    <xf numFmtId="0" fontId="0" fillId="0" borderId="0" xfId="0" applyAlignment="1">
      <alignment horizontal="right" wrapText="1" shrinkToFit="1"/>
    </xf>
    <xf numFmtId="0" fontId="0" fillId="0" borderId="0" xfId="0" applyAlignment="1">
      <alignment horizontal="center" wrapText="1" shrinkToFit="1"/>
    </xf>
    <xf numFmtId="0" fontId="0" fillId="0" borderId="0" xfId="0" applyAlignment="1">
      <alignment horizontal="left" wrapText="1" shrinkToFit="1"/>
    </xf>
    <xf numFmtId="0" fontId="1" fillId="0" borderId="1" xfId="0" applyFont="1" applyBorder="1" applyAlignment="1">
      <alignment horizontal="right" wrapText="1" shrinkToFit="1"/>
    </xf>
    <xf numFmtId="0" fontId="1" fillId="0" borderId="1" xfId="0" applyFont="1" applyBorder="1" applyAlignment="1">
      <alignment horizontal="center" wrapText="1" shrinkToFit="1"/>
    </xf>
    <xf numFmtId="0" fontId="1" fillId="0" borderId="1" xfId="0" applyFont="1" applyBorder="1" applyAlignment="1">
      <alignment horizontal="left" wrapText="1" shrinkToFit="1"/>
    </xf>
    <xf numFmtId="0" fontId="0" fillId="0" borderId="1" xfId="0" applyBorder="1" applyAlignment="1">
      <alignment horizontal="right" wrapText="1" shrinkToFit="1"/>
    </xf>
    <xf numFmtId="0" fontId="0" fillId="0" borderId="1" xfId="0" applyBorder="1" applyAlignment="1">
      <alignment horizontal="center" wrapText="1" shrinkToFit="1"/>
    </xf>
    <xf numFmtId="0" fontId="0" fillId="0" borderId="1" xfId="0" applyBorder="1" applyAlignment="1">
      <alignment horizontal="left" wrapText="1" shrinkToFit="1"/>
    </xf>
    <xf numFmtId="164" fontId="1" fillId="0" borderId="1" xfId="0" applyNumberFormat="1" applyFont="1" applyBorder="1" applyAlignment="1">
      <alignment horizontal="right" wrapText="1" shrinkToFit="1"/>
    </xf>
    <xf numFmtId="164" fontId="0" fillId="0" borderId="1" xfId="0" applyNumberFormat="1" applyBorder="1" applyAlignment="1">
      <alignment horizontal="right" wrapText="1" shrinkToFit="1"/>
    </xf>
    <xf numFmtId="164" fontId="0" fillId="0" borderId="0" xfId="0" applyNumberFormat="1" applyAlignment="1">
      <alignment horizontal="right" wrapText="1" shrinkToFit="1"/>
    </xf>
    <xf numFmtId="0" fontId="2" fillId="0" borderId="1" xfId="0" applyFont="1" applyBorder="1" applyAlignment="1">
      <alignment horizontal="left" wrapText="1" shrinkToFit="1"/>
    </xf>
    <xf numFmtId="0" fontId="3" fillId="0" borderId="2" xfId="0" applyFont="1" applyBorder="1"/>
  </cellXfs>
  <cellStyles count="1">
    <cellStyle name="Normal" xfId="0" builtinId="0"/>
  </cellStyles>
  <dxfs count="3"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ptos Narrow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CD3B34-3605-FA40-865A-37AC44C5E839}" name="Tabela1" displayName="Tabela1" ref="B1:F20" totalsRowShown="0" headerRowDxfId="2" headerRowBorderDxfId="0" tableBorderDxfId="1">
  <autoFilter ref="B1:F20" xr:uid="{33C6170E-8DE6-480E-A7EC-A14954CE83E8}"/>
  <tableColumns count="5">
    <tableColumn id="1" xr3:uid="{2340CD3E-8AA6-47D2-AE90-89215C4E57B0}" name="Oznaka"/>
    <tableColumn id="2" xr3:uid="{43B8D2FB-E4A1-4D6A-B5C0-DD4D6E735217}" name="Naziv"/>
    <tableColumn id="3" xr3:uid="{2AACCEE9-FD41-4382-A151-AC81532B98A8}" name="Ž"/>
    <tableColumn id="4" xr3:uid="{3250ED77-C9FC-44A7-AB49-9A4D5A8E2DBB}" name="M"/>
    <tableColumn id="5" xr3:uid="{52195396-0615-4FE2-8FCA-870592C05F38}" name="Ž+M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F74FC-8A12-2841-9575-96DFBD0EB145}">
  <dimension ref="A1:F20"/>
  <sheetViews>
    <sheetView tabSelected="1" workbookViewId="0">
      <pane ySplit="1" topLeftCell="A7" activePane="bottomLeft" state="frozenSplit"/>
      <selection pane="bottomLeft" activeCell="A20" sqref="A20"/>
    </sheetView>
  </sheetViews>
  <sheetFormatPr baseColWidth="10" defaultColWidth="8.83203125" defaultRowHeight="15" x14ac:dyDescent="0.2"/>
  <cols>
    <col min="2" max="2" width="8.1640625" bestFit="1" customWidth="1"/>
    <col min="3" max="3" width="25" bestFit="1" customWidth="1"/>
    <col min="4" max="4" width="5.1640625" bestFit="1" customWidth="1"/>
    <col min="5" max="5" width="4" customWidth="1"/>
    <col min="6" max="6" width="5.6640625" customWidth="1"/>
    <col min="7" max="7" width="1.83203125" bestFit="1" customWidth="1"/>
  </cols>
  <sheetData>
    <row r="1" spans="1:6" x14ac:dyDescent="0.2">
      <c r="B1" s="16" t="s">
        <v>703</v>
      </c>
      <c r="C1" s="16" t="s">
        <v>702</v>
      </c>
      <c r="D1" s="16" t="s">
        <v>701</v>
      </c>
      <c r="E1" s="16" t="s">
        <v>700</v>
      </c>
      <c r="F1" s="16" t="s">
        <v>699</v>
      </c>
    </row>
    <row r="2" spans="1:6" x14ac:dyDescent="0.2">
      <c r="A2">
        <v>1</v>
      </c>
      <c r="B2" t="s">
        <v>698</v>
      </c>
      <c r="C2" t="s">
        <v>22</v>
      </c>
      <c r="D2">
        <v>217</v>
      </c>
      <c r="E2">
        <v>225</v>
      </c>
      <c r="F2">
        <v>442</v>
      </c>
    </row>
    <row r="3" spans="1:6" x14ac:dyDescent="0.2">
      <c r="A3">
        <v>2</v>
      </c>
      <c r="B3" t="s">
        <v>697</v>
      </c>
      <c r="C3" t="s">
        <v>19</v>
      </c>
      <c r="D3">
        <v>160</v>
      </c>
      <c r="E3">
        <v>243</v>
      </c>
      <c r="F3">
        <v>403</v>
      </c>
    </row>
    <row r="4" spans="1:6" x14ac:dyDescent="0.2">
      <c r="A4">
        <v>3</v>
      </c>
      <c r="B4" t="s">
        <v>696</v>
      </c>
      <c r="C4" t="s">
        <v>13</v>
      </c>
      <c r="D4">
        <v>149</v>
      </c>
      <c r="E4">
        <v>249</v>
      </c>
      <c r="F4">
        <v>398</v>
      </c>
    </row>
    <row r="5" spans="1:6" x14ac:dyDescent="0.2">
      <c r="A5">
        <v>4</v>
      </c>
      <c r="B5" t="s">
        <v>695</v>
      </c>
      <c r="C5" t="s">
        <v>7</v>
      </c>
      <c r="D5">
        <v>224</v>
      </c>
      <c r="E5">
        <v>121</v>
      </c>
      <c r="F5">
        <v>345</v>
      </c>
    </row>
    <row r="6" spans="1:6" x14ac:dyDescent="0.2">
      <c r="A6">
        <v>5</v>
      </c>
      <c r="B6" t="s">
        <v>694</v>
      </c>
      <c r="C6" t="s">
        <v>10</v>
      </c>
      <c r="D6">
        <v>217</v>
      </c>
      <c r="E6">
        <v>112</v>
      </c>
      <c r="F6">
        <v>329</v>
      </c>
    </row>
    <row r="7" spans="1:6" x14ac:dyDescent="0.2">
      <c r="A7">
        <v>6</v>
      </c>
      <c r="B7" t="s">
        <v>693</v>
      </c>
      <c r="C7" t="s">
        <v>79</v>
      </c>
      <c r="D7">
        <v>118</v>
      </c>
      <c r="E7">
        <v>196</v>
      </c>
      <c r="F7">
        <v>314</v>
      </c>
    </row>
    <row r="8" spans="1:6" x14ac:dyDescent="0.2">
      <c r="A8">
        <v>7</v>
      </c>
      <c r="B8" t="s">
        <v>692</v>
      </c>
      <c r="C8" t="s">
        <v>16</v>
      </c>
      <c r="D8">
        <v>45</v>
      </c>
      <c r="E8">
        <v>107</v>
      </c>
      <c r="F8">
        <v>152</v>
      </c>
    </row>
    <row r="9" spans="1:6" x14ac:dyDescent="0.2">
      <c r="A9">
        <v>8</v>
      </c>
      <c r="B9" t="s">
        <v>691</v>
      </c>
      <c r="C9" t="s">
        <v>147</v>
      </c>
      <c r="D9">
        <v>22</v>
      </c>
      <c r="E9">
        <v>54</v>
      </c>
      <c r="F9">
        <v>76</v>
      </c>
    </row>
    <row r="10" spans="1:6" x14ac:dyDescent="0.2">
      <c r="A10">
        <v>9</v>
      </c>
      <c r="B10" t="s">
        <v>690</v>
      </c>
      <c r="C10" t="s">
        <v>95</v>
      </c>
      <c r="D10">
        <v>56</v>
      </c>
      <c r="E10">
        <v>0</v>
      </c>
      <c r="F10">
        <v>56</v>
      </c>
    </row>
    <row r="11" spans="1:6" x14ac:dyDescent="0.2">
      <c r="A11">
        <v>10</v>
      </c>
      <c r="B11" t="s">
        <v>689</v>
      </c>
      <c r="C11" t="s">
        <v>51</v>
      </c>
      <c r="D11">
        <v>25</v>
      </c>
      <c r="E11">
        <v>30</v>
      </c>
      <c r="F11">
        <v>55</v>
      </c>
    </row>
    <row r="12" spans="1:6" x14ac:dyDescent="0.2">
      <c r="A12">
        <v>11</v>
      </c>
      <c r="B12" t="s">
        <v>688</v>
      </c>
      <c r="C12" t="s">
        <v>113</v>
      </c>
      <c r="D12">
        <v>46</v>
      </c>
      <c r="E12">
        <v>8</v>
      </c>
      <c r="F12">
        <v>54</v>
      </c>
    </row>
    <row r="13" spans="1:6" x14ac:dyDescent="0.2">
      <c r="A13">
        <v>11</v>
      </c>
      <c r="B13" t="s">
        <v>687</v>
      </c>
      <c r="C13" t="s">
        <v>34</v>
      </c>
      <c r="D13">
        <v>14</v>
      </c>
      <c r="E13">
        <v>40</v>
      </c>
      <c r="F13">
        <v>54</v>
      </c>
    </row>
    <row r="14" spans="1:6" x14ac:dyDescent="0.2">
      <c r="A14">
        <v>13</v>
      </c>
      <c r="B14" t="s">
        <v>686</v>
      </c>
      <c r="C14" t="s">
        <v>393</v>
      </c>
      <c r="D14">
        <v>8</v>
      </c>
      <c r="E14">
        <v>40</v>
      </c>
      <c r="F14">
        <v>48</v>
      </c>
    </row>
    <row r="15" spans="1:6" x14ac:dyDescent="0.2">
      <c r="A15">
        <v>14</v>
      </c>
      <c r="B15" t="s">
        <v>685</v>
      </c>
      <c r="C15" t="s">
        <v>76</v>
      </c>
      <c r="D15">
        <v>2</v>
      </c>
      <c r="E15">
        <v>38</v>
      </c>
      <c r="F15">
        <v>40</v>
      </c>
    </row>
    <row r="16" spans="1:6" x14ac:dyDescent="0.2">
      <c r="A16">
        <v>15</v>
      </c>
      <c r="B16" t="s">
        <v>684</v>
      </c>
      <c r="C16" t="s">
        <v>110</v>
      </c>
      <c r="D16">
        <v>34</v>
      </c>
      <c r="E16">
        <v>5</v>
      </c>
      <c r="F16">
        <v>39</v>
      </c>
    </row>
    <row r="17" spans="1:6" x14ac:dyDescent="0.2">
      <c r="A17">
        <v>16</v>
      </c>
      <c r="B17" t="s">
        <v>683</v>
      </c>
      <c r="C17" t="s">
        <v>31</v>
      </c>
      <c r="D17">
        <v>19</v>
      </c>
      <c r="E17">
        <v>19</v>
      </c>
      <c r="F17">
        <v>38</v>
      </c>
    </row>
    <row r="18" spans="1:6" x14ac:dyDescent="0.2">
      <c r="A18">
        <v>17</v>
      </c>
      <c r="B18" t="s">
        <v>682</v>
      </c>
      <c r="C18" t="s">
        <v>220</v>
      </c>
      <c r="D18">
        <v>8</v>
      </c>
      <c r="E18">
        <v>11</v>
      </c>
      <c r="F18">
        <v>19</v>
      </c>
    </row>
    <row r="19" spans="1:6" x14ac:dyDescent="0.2">
      <c r="A19">
        <v>18</v>
      </c>
      <c r="B19" t="s">
        <v>681</v>
      </c>
      <c r="C19" t="s">
        <v>122</v>
      </c>
      <c r="D19">
        <v>11</v>
      </c>
      <c r="E19">
        <v>6</v>
      </c>
      <c r="F19">
        <v>17</v>
      </c>
    </row>
    <row r="20" spans="1:6" x14ac:dyDescent="0.2">
      <c r="A20">
        <v>19</v>
      </c>
      <c r="B20" t="s">
        <v>680</v>
      </c>
      <c r="C20" t="s">
        <v>187</v>
      </c>
      <c r="D20">
        <v>2</v>
      </c>
      <c r="E20">
        <v>1</v>
      </c>
      <c r="F20">
        <v>3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294F3-832A-6C41-8819-45CD2918698E}">
  <dimension ref="A1:F34"/>
  <sheetViews>
    <sheetView topLeftCell="A22" workbookViewId="0"/>
  </sheetViews>
  <sheetFormatPr baseColWidth="10" defaultColWidth="8.6640625" defaultRowHeight="15" x14ac:dyDescent="0.2"/>
  <cols>
    <col min="1" max="1" width="6.6640625" style="3" customWidth="1"/>
    <col min="2" max="2" width="8.6640625" style="4" customWidth="1"/>
    <col min="3" max="3" width="24.6640625" style="5" customWidth="1"/>
    <col min="4" max="4" width="8.6640625" style="4" customWidth="1"/>
    <col min="5" max="5" width="28.6640625" style="5" customWidth="1"/>
    <col min="6" max="6" width="8.6640625" style="14" customWidth="1"/>
    <col min="7" max="16384" width="8.6640625" style="1"/>
  </cols>
  <sheetData>
    <row r="1" spans="1:6" s="2" customFormat="1" ht="14" x14ac:dyDescent="0.15">
      <c r="A1" s="6" t="s">
        <v>0</v>
      </c>
      <c r="B1" s="7" t="s">
        <v>1</v>
      </c>
      <c r="C1" s="8" t="s">
        <v>2</v>
      </c>
      <c r="D1" s="7" t="s">
        <v>3</v>
      </c>
      <c r="E1" s="8" t="s">
        <v>4</v>
      </c>
      <c r="F1" s="12" t="s">
        <v>5</v>
      </c>
    </row>
    <row r="2" spans="1:6" ht="16" x14ac:dyDescent="0.2">
      <c r="A2" s="9">
        <v>1</v>
      </c>
      <c r="B2" s="10" t="str">
        <f>"11503"</f>
        <v>11503</v>
      </c>
      <c r="C2" s="11" t="s">
        <v>304</v>
      </c>
      <c r="D2" s="10">
        <v>2011</v>
      </c>
      <c r="E2" s="11" t="s">
        <v>10</v>
      </c>
      <c r="F2" s="13" t="s">
        <v>303</v>
      </c>
    </row>
    <row r="3" spans="1:6" ht="16" x14ac:dyDescent="0.2">
      <c r="A3" s="9">
        <v>2</v>
      </c>
      <c r="B3" s="10" t="str">
        <f>"11505"</f>
        <v>11505</v>
      </c>
      <c r="C3" s="11" t="s">
        <v>302</v>
      </c>
      <c r="D3" s="10">
        <v>2011</v>
      </c>
      <c r="E3" s="11" t="s">
        <v>95</v>
      </c>
      <c r="F3" s="13" t="s">
        <v>301</v>
      </c>
    </row>
    <row r="4" spans="1:6" ht="16" x14ac:dyDescent="0.2">
      <c r="A4" s="9">
        <v>3</v>
      </c>
      <c r="B4" s="10" t="str">
        <f>"12502"</f>
        <v>12502</v>
      </c>
      <c r="C4" s="11" t="s">
        <v>300</v>
      </c>
      <c r="D4" s="10">
        <v>2012</v>
      </c>
      <c r="E4" s="11" t="s">
        <v>16</v>
      </c>
      <c r="F4" s="13" t="s">
        <v>299</v>
      </c>
    </row>
    <row r="5" spans="1:6" ht="16" x14ac:dyDescent="0.2">
      <c r="A5" s="9">
        <v>4</v>
      </c>
      <c r="B5" s="10" t="str">
        <f>"11501"</f>
        <v>11501</v>
      </c>
      <c r="C5" s="11" t="s">
        <v>298</v>
      </c>
      <c r="D5" s="10">
        <v>2011</v>
      </c>
      <c r="E5" s="11" t="s">
        <v>7</v>
      </c>
      <c r="F5" s="13" t="s">
        <v>297</v>
      </c>
    </row>
    <row r="6" spans="1:6" ht="16" x14ac:dyDescent="0.2">
      <c r="A6" s="9">
        <v>5</v>
      </c>
      <c r="B6" s="10" t="str">
        <f>"12522"</f>
        <v>12522</v>
      </c>
      <c r="C6" s="11" t="s">
        <v>296</v>
      </c>
      <c r="D6" s="10">
        <v>2012</v>
      </c>
      <c r="E6" s="11" t="s">
        <v>79</v>
      </c>
      <c r="F6" s="13" t="s">
        <v>295</v>
      </c>
    </row>
    <row r="7" spans="1:6" ht="16" x14ac:dyDescent="0.2">
      <c r="A7" s="9">
        <v>6</v>
      </c>
      <c r="B7" s="10" t="str">
        <f>"11502"</f>
        <v>11502</v>
      </c>
      <c r="C7" s="11" t="s">
        <v>294</v>
      </c>
      <c r="D7" s="10">
        <v>2011</v>
      </c>
      <c r="E7" s="11" t="s">
        <v>10</v>
      </c>
      <c r="F7" s="13" t="s">
        <v>293</v>
      </c>
    </row>
    <row r="8" spans="1:6" ht="16" x14ac:dyDescent="0.2">
      <c r="A8" s="9">
        <v>7</v>
      </c>
      <c r="B8" s="10" t="str">
        <f>"12515"</f>
        <v>12515</v>
      </c>
      <c r="C8" s="11" t="s">
        <v>292</v>
      </c>
      <c r="D8" s="10">
        <v>2012</v>
      </c>
      <c r="E8" s="11" t="s">
        <v>19</v>
      </c>
      <c r="F8" s="13" t="s">
        <v>291</v>
      </c>
    </row>
    <row r="9" spans="1:6" ht="16" x14ac:dyDescent="0.2">
      <c r="A9" s="9">
        <v>8</v>
      </c>
      <c r="B9" s="10" t="str">
        <f>"12519"</f>
        <v>12519</v>
      </c>
      <c r="C9" s="11" t="s">
        <v>290</v>
      </c>
      <c r="D9" s="10">
        <v>2012</v>
      </c>
      <c r="E9" s="11" t="s">
        <v>19</v>
      </c>
      <c r="F9" s="13" t="s">
        <v>289</v>
      </c>
    </row>
    <row r="10" spans="1:6" ht="16" x14ac:dyDescent="0.2">
      <c r="A10" s="9">
        <v>9</v>
      </c>
      <c r="B10" s="10" t="str">
        <f>"12521"</f>
        <v>12521</v>
      </c>
      <c r="C10" s="11" t="s">
        <v>288</v>
      </c>
      <c r="D10" s="10">
        <v>2012</v>
      </c>
      <c r="E10" s="11" t="s">
        <v>7</v>
      </c>
      <c r="F10" s="13" t="s">
        <v>287</v>
      </c>
    </row>
    <row r="11" spans="1:6" ht="16" x14ac:dyDescent="0.2">
      <c r="A11" s="9">
        <v>10</v>
      </c>
      <c r="B11" s="10" t="str">
        <f>"11524"</f>
        <v>11524</v>
      </c>
      <c r="C11" s="11" t="s">
        <v>286</v>
      </c>
      <c r="D11" s="10">
        <v>2011</v>
      </c>
      <c r="E11" s="11" t="s">
        <v>22</v>
      </c>
      <c r="F11" s="13" t="s">
        <v>285</v>
      </c>
    </row>
    <row r="12" spans="1:6" ht="16" x14ac:dyDescent="0.2">
      <c r="A12" s="9">
        <v>11</v>
      </c>
      <c r="B12" s="10" t="str">
        <f>"12512"</f>
        <v>12512</v>
      </c>
      <c r="C12" s="11" t="s">
        <v>284</v>
      </c>
      <c r="D12" s="10">
        <v>2012</v>
      </c>
      <c r="E12" s="11" t="s">
        <v>13</v>
      </c>
      <c r="F12" s="13" t="s">
        <v>283</v>
      </c>
    </row>
    <row r="13" spans="1:6" ht="16" x14ac:dyDescent="0.2">
      <c r="A13" s="9">
        <v>12</v>
      </c>
      <c r="B13" s="10" t="str">
        <f>"12514"</f>
        <v>12514</v>
      </c>
      <c r="C13" s="11" t="s">
        <v>282</v>
      </c>
      <c r="D13" s="10">
        <v>2012</v>
      </c>
      <c r="E13" s="11" t="s">
        <v>19</v>
      </c>
      <c r="F13" s="13" t="s">
        <v>281</v>
      </c>
    </row>
    <row r="14" spans="1:6" ht="16" x14ac:dyDescent="0.2">
      <c r="A14" s="9">
        <v>13</v>
      </c>
      <c r="B14" s="10" t="str">
        <f>"12532"</f>
        <v>12532</v>
      </c>
      <c r="C14" s="11" t="s">
        <v>280</v>
      </c>
      <c r="D14" s="10">
        <v>2012</v>
      </c>
      <c r="E14" s="11" t="s">
        <v>13</v>
      </c>
      <c r="F14" s="13" t="s">
        <v>279</v>
      </c>
    </row>
    <row r="15" spans="1:6" ht="16" x14ac:dyDescent="0.2">
      <c r="A15" s="9">
        <v>14</v>
      </c>
      <c r="B15" s="10" t="str">
        <f>"12503"</f>
        <v>12503</v>
      </c>
      <c r="C15" s="11" t="s">
        <v>278</v>
      </c>
      <c r="D15" s="10">
        <v>2012</v>
      </c>
      <c r="E15" s="11" t="s">
        <v>22</v>
      </c>
      <c r="F15" s="13" t="s">
        <v>277</v>
      </c>
    </row>
    <row r="16" spans="1:6" ht="16" x14ac:dyDescent="0.2">
      <c r="A16" s="9">
        <v>15</v>
      </c>
      <c r="B16" s="10" t="str">
        <f>"12507"</f>
        <v>12507</v>
      </c>
      <c r="C16" s="11" t="s">
        <v>276</v>
      </c>
      <c r="D16" s="10">
        <v>2012</v>
      </c>
      <c r="E16" s="11" t="s">
        <v>22</v>
      </c>
      <c r="F16" s="13" t="s">
        <v>275</v>
      </c>
    </row>
    <row r="17" spans="1:6" ht="16" x14ac:dyDescent="0.2">
      <c r="A17" s="9">
        <v>16</v>
      </c>
      <c r="B17" s="10" t="str">
        <f>"12516"</f>
        <v>12516</v>
      </c>
      <c r="C17" s="11" t="s">
        <v>274</v>
      </c>
      <c r="D17" s="10">
        <v>2012</v>
      </c>
      <c r="E17" s="11" t="s">
        <v>19</v>
      </c>
      <c r="F17" s="13" t="s">
        <v>273</v>
      </c>
    </row>
    <row r="18" spans="1:6" ht="16" x14ac:dyDescent="0.2">
      <c r="A18" s="9">
        <v>17</v>
      </c>
      <c r="B18" s="10" t="str">
        <f>"12523"</f>
        <v>12523</v>
      </c>
      <c r="C18" s="11" t="s">
        <v>272</v>
      </c>
      <c r="D18" s="10">
        <v>2012</v>
      </c>
      <c r="E18" s="11" t="s">
        <v>79</v>
      </c>
      <c r="F18" s="13" t="s">
        <v>271</v>
      </c>
    </row>
    <row r="19" spans="1:6" ht="16" x14ac:dyDescent="0.2">
      <c r="A19" s="9">
        <v>18</v>
      </c>
      <c r="B19" s="10" t="str">
        <f>"11510"</f>
        <v>11510</v>
      </c>
      <c r="C19" s="11" t="s">
        <v>270</v>
      </c>
      <c r="D19" s="10">
        <v>2011</v>
      </c>
      <c r="E19" s="11" t="s">
        <v>110</v>
      </c>
      <c r="F19" s="13" t="s">
        <v>269</v>
      </c>
    </row>
    <row r="20" spans="1:6" ht="16" x14ac:dyDescent="0.2">
      <c r="A20" s="9">
        <v>19</v>
      </c>
      <c r="B20" s="10" t="str">
        <f>"11517"</f>
        <v>11517</v>
      </c>
      <c r="C20" s="11" t="s">
        <v>268</v>
      </c>
      <c r="D20" s="10">
        <v>2011</v>
      </c>
      <c r="E20" s="11" t="s">
        <v>187</v>
      </c>
      <c r="F20" s="13" t="s">
        <v>267</v>
      </c>
    </row>
    <row r="21" spans="1:6" ht="16" x14ac:dyDescent="0.2">
      <c r="A21" s="9">
        <v>20</v>
      </c>
      <c r="B21" s="10" t="str">
        <f>"12504"</f>
        <v>12504</v>
      </c>
      <c r="C21" s="11" t="s">
        <v>266</v>
      </c>
      <c r="D21" s="10">
        <v>2012</v>
      </c>
      <c r="E21" s="11" t="s">
        <v>10</v>
      </c>
      <c r="F21" s="13" t="s">
        <v>265</v>
      </c>
    </row>
    <row r="22" spans="1:6" ht="16" x14ac:dyDescent="0.2">
      <c r="A22" s="9">
        <v>21</v>
      </c>
      <c r="B22" s="10" t="str">
        <f>"11513"</f>
        <v>11513</v>
      </c>
      <c r="C22" s="11" t="s">
        <v>264</v>
      </c>
      <c r="D22" s="10">
        <v>2011</v>
      </c>
      <c r="E22" s="11" t="s">
        <v>187</v>
      </c>
      <c r="F22" s="13" t="s">
        <v>263</v>
      </c>
    </row>
    <row r="23" spans="1:6" ht="16" x14ac:dyDescent="0.2">
      <c r="A23" s="9">
        <v>22</v>
      </c>
      <c r="B23" s="10" t="str">
        <f>"11519"</f>
        <v>11519</v>
      </c>
      <c r="C23" s="11" t="s">
        <v>262</v>
      </c>
      <c r="D23" s="10">
        <v>2011</v>
      </c>
      <c r="E23" s="11" t="s">
        <v>7</v>
      </c>
      <c r="F23" s="13" t="s">
        <v>261</v>
      </c>
    </row>
    <row r="24" spans="1:6" ht="16" x14ac:dyDescent="0.2">
      <c r="A24" s="9">
        <v>23</v>
      </c>
      <c r="B24" s="10" t="str">
        <f>"12518"</f>
        <v>12518</v>
      </c>
      <c r="C24" s="11" t="s">
        <v>260</v>
      </c>
      <c r="D24" s="10">
        <v>2012</v>
      </c>
      <c r="E24" s="11" t="s">
        <v>19</v>
      </c>
      <c r="F24" s="13" t="s">
        <v>259</v>
      </c>
    </row>
    <row r="25" spans="1:6" ht="16" x14ac:dyDescent="0.2">
      <c r="A25" s="9">
        <v>24</v>
      </c>
      <c r="B25" s="10" t="str">
        <f>"11514"</f>
        <v>11514</v>
      </c>
      <c r="C25" s="11" t="s">
        <v>258</v>
      </c>
      <c r="D25" s="10">
        <v>2011</v>
      </c>
      <c r="E25" s="11" t="s">
        <v>122</v>
      </c>
      <c r="F25" s="13" t="s">
        <v>257</v>
      </c>
    </row>
    <row r="26" spans="1:6" ht="16" x14ac:dyDescent="0.2">
      <c r="A26" s="9">
        <v>25</v>
      </c>
      <c r="B26" s="10" t="str">
        <f>"12513"</f>
        <v>12513</v>
      </c>
      <c r="C26" s="11" t="s">
        <v>256</v>
      </c>
      <c r="D26" s="10">
        <v>2012</v>
      </c>
      <c r="E26" s="11" t="s">
        <v>51</v>
      </c>
      <c r="F26" s="13" t="s">
        <v>255</v>
      </c>
    </row>
    <row r="27" spans="1:6" ht="16" x14ac:dyDescent="0.2">
      <c r="A27" s="9">
        <v>26</v>
      </c>
      <c r="B27" s="10" t="str">
        <f>"12505"</f>
        <v>12505</v>
      </c>
      <c r="C27" s="11" t="s">
        <v>254</v>
      </c>
      <c r="D27" s="10">
        <v>2012</v>
      </c>
      <c r="E27" s="11" t="s">
        <v>220</v>
      </c>
      <c r="F27" s="13" t="s">
        <v>253</v>
      </c>
    </row>
    <row r="28" spans="1:6" ht="16" x14ac:dyDescent="0.2">
      <c r="A28" s="9">
        <v>27</v>
      </c>
      <c r="B28" s="10" t="str">
        <f>"12535"</f>
        <v>12535</v>
      </c>
      <c r="C28" s="11" t="s">
        <v>252</v>
      </c>
      <c r="D28" s="10">
        <v>2012</v>
      </c>
      <c r="E28" s="11" t="s">
        <v>19</v>
      </c>
      <c r="F28" s="13" t="s">
        <v>251</v>
      </c>
    </row>
    <row r="29" spans="1:6" ht="16" x14ac:dyDescent="0.2">
      <c r="A29" s="9">
        <v>28</v>
      </c>
      <c r="B29" s="10" t="str">
        <f>"11516"</f>
        <v>11516</v>
      </c>
      <c r="C29" s="11" t="s">
        <v>250</v>
      </c>
      <c r="D29" s="10">
        <v>2011</v>
      </c>
      <c r="E29" s="11" t="s">
        <v>31</v>
      </c>
      <c r="F29" s="13" t="s">
        <v>249</v>
      </c>
    </row>
    <row r="30" spans="1:6" ht="16" x14ac:dyDescent="0.2">
      <c r="A30" s="9">
        <v>29</v>
      </c>
      <c r="B30" s="10" t="str">
        <f>"11518"</f>
        <v>11518</v>
      </c>
      <c r="C30" s="11" t="s">
        <v>248</v>
      </c>
      <c r="D30" s="10">
        <v>2011</v>
      </c>
      <c r="E30" s="11" t="s">
        <v>122</v>
      </c>
      <c r="F30" s="13" t="s">
        <v>247</v>
      </c>
    </row>
    <row r="31" spans="1:6" ht="16" x14ac:dyDescent="0.2">
      <c r="A31" s="9">
        <v>30</v>
      </c>
      <c r="B31" s="10" t="str">
        <f>"11522"</f>
        <v>11522</v>
      </c>
      <c r="C31" s="11" t="s">
        <v>246</v>
      </c>
      <c r="D31" s="10">
        <v>2011</v>
      </c>
      <c r="E31" s="11" t="s">
        <v>122</v>
      </c>
      <c r="F31" s="13" t="s">
        <v>245</v>
      </c>
    </row>
    <row r="32" spans="1:6" ht="16" x14ac:dyDescent="0.2">
      <c r="A32" s="9">
        <v>31</v>
      </c>
      <c r="B32" s="10" t="str">
        <f>"12526"</f>
        <v>12526</v>
      </c>
      <c r="C32" s="11" t="s">
        <v>244</v>
      </c>
      <c r="D32" s="10">
        <v>2012</v>
      </c>
      <c r="E32" s="11" t="s">
        <v>19</v>
      </c>
      <c r="F32" s="13" t="s">
        <v>243</v>
      </c>
    </row>
    <row r="33" spans="1:6" ht="16" x14ac:dyDescent="0.2">
      <c r="A33" s="9">
        <v>32</v>
      </c>
      <c r="B33" s="10" t="str">
        <f>"12501"</f>
        <v>12501</v>
      </c>
      <c r="C33" s="11" t="s">
        <v>242</v>
      </c>
      <c r="D33" s="10">
        <v>2012</v>
      </c>
      <c r="E33" s="11" t="s">
        <v>51</v>
      </c>
      <c r="F33" s="13" t="s">
        <v>241</v>
      </c>
    </row>
    <row r="34" spans="1:6" ht="16" x14ac:dyDescent="0.2">
      <c r="A34" s="9">
        <v>33</v>
      </c>
      <c r="B34" s="10" t="str">
        <f>"12533"</f>
        <v>12533</v>
      </c>
      <c r="C34" s="11" t="s">
        <v>240</v>
      </c>
      <c r="D34" s="10">
        <v>2012</v>
      </c>
      <c r="E34" s="11" t="s">
        <v>122</v>
      </c>
      <c r="F34" s="13" t="s">
        <v>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BF93-1D54-5642-89A3-D440177F1676}">
  <dimension ref="A1:F43"/>
  <sheetViews>
    <sheetView topLeftCell="A34" workbookViewId="0"/>
  </sheetViews>
  <sheetFormatPr baseColWidth="10" defaultColWidth="8.6640625" defaultRowHeight="15" x14ac:dyDescent="0.2"/>
  <cols>
    <col min="1" max="1" width="6.6640625" style="3" customWidth="1"/>
    <col min="2" max="2" width="8.6640625" style="4" customWidth="1"/>
    <col min="3" max="3" width="24.6640625" style="5" customWidth="1"/>
    <col min="4" max="4" width="8.6640625" style="4" customWidth="1"/>
    <col min="5" max="5" width="28.6640625" style="5" customWidth="1"/>
    <col min="6" max="6" width="8.6640625" style="14" customWidth="1"/>
    <col min="7" max="16384" width="8.6640625" style="1"/>
  </cols>
  <sheetData>
    <row r="1" spans="1:6" s="2" customFormat="1" ht="14" x14ac:dyDescent="0.15">
      <c r="A1" s="6" t="s">
        <v>0</v>
      </c>
      <c r="B1" s="7" t="s">
        <v>1</v>
      </c>
      <c r="C1" s="8" t="s">
        <v>2</v>
      </c>
      <c r="D1" s="7" t="s">
        <v>3</v>
      </c>
      <c r="E1" s="8" t="s">
        <v>4</v>
      </c>
      <c r="F1" s="12" t="s">
        <v>5</v>
      </c>
    </row>
    <row r="2" spans="1:6" ht="16" x14ac:dyDescent="0.2">
      <c r="A2" s="9">
        <v>1</v>
      </c>
      <c r="B2" s="10" t="str">
        <f>"11024"</f>
        <v>11024</v>
      </c>
      <c r="C2" s="11" t="s">
        <v>239</v>
      </c>
      <c r="D2" s="10">
        <v>2011</v>
      </c>
      <c r="E2" s="11" t="s">
        <v>13</v>
      </c>
      <c r="F2" s="13" t="s">
        <v>238</v>
      </c>
    </row>
    <row r="3" spans="1:6" ht="16" x14ac:dyDescent="0.2">
      <c r="A3" s="9">
        <v>2</v>
      </c>
      <c r="B3" s="10" t="str">
        <f>"11006"</f>
        <v>11006</v>
      </c>
      <c r="C3" s="11" t="s">
        <v>237</v>
      </c>
      <c r="D3" s="10">
        <v>2011</v>
      </c>
      <c r="E3" s="11" t="s">
        <v>22</v>
      </c>
      <c r="F3" s="13" t="s">
        <v>236</v>
      </c>
    </row>
    <row r="4" spans="1:6" ht="16" x14ac:dyDescent="0.2">
      <c r="A4" s="9">
        <v>3</v>
      </c>
      <c r="B4" s="10" t="str">
        <f>"11013"</f>
        <v>11013</v>
      </c>
      <c r="C4" s="11" t="s">
        <v>235</v>
      </c>
      <c r="D4" s="10">
        <v>2011</v>
      </c>
      <c r="E4" s="11" t="s">
        <v>10</v>
      </c>
      <c r="F4" s="13" t="s">
        <v>234</v>
      </c>
    </row>
    <row r="5" spans="1:6" ht="16" x14ac:dyDescent="0.2">
      <c r="A5" s="9">
        <v>4</v>
      </c>
      <c r="B5" s="10" t="str">
        <f>"11001"</f>
        <v>11001</v>
      </c>
      <c r="C5" s="11" t="s">
        <v>233</v>
      </c>
      <c r="D5" s="10">
        <v>2011</v>
      </c>
      <c r="E5" s="11" t="s">
        <v>10</v>
      </c>
      <c r="F5" s="13" t="s">
        <v>232</v>
      </c>
    </row>
    <row r="6" spans="1:6" ht="16" x14ac:dyDescent="0.2">
      <c r="A6" s="9">
        <v>5</v>
      </c>
      <c r="B6" s="10" t="str">
        <f>"11004"</f>
        <v>11004</v>
      </c>
      <c r="C6" s="11" t="s">
        <v>231</v>
      </c>
      <c r="D6" s="10">
        <v>2011</v>
      </c>
      <c r="E6" s="11" t="s">
        <v>22</v>
      </c>
      <c r="F6" s="13" t="s">
        <v>230</v>
      </c>
    </row>
    <row r="7" spans="1:6" ht="16" x14ac:dyDescent="0.2">
      <c r="A7" s="9">
        <v>6</v>
      </c>
      <c r="B7" s="10" t="str">
        <f>"11014"</f>
        <v>11014</v>
      </c>
      <c r="C7" s="11" t="s">
        <v>229</v>
      </c>
      <c r="D7" s="10">
        <v>2011</v>
      </c>
      <c r="E7" s="11" t="s">
        <v>10</v>
      </c>
      <c r="F7" s="13" t="s">
        <v>228</v>
      </c>
    </row>
    <row r="8" spans="1:6" ht="16" x14ac:dyDescent="0.2">
      <c r="A8" s="9">
        <v>7</v>
      </c>
      <c r="B8" s="10" t="str">
        <f>"12001"</f>
        <v>12001</v>
      </c>
      <c r="C8" s="11" t="s">
        <v>227</v>
      </c>
      <c r="D8" s="10">
        <v>2012</v>
      </c>
      <c r="E8" s="11" t="s">
        <v>7</v>
      </c>
      <c r="F8" s="13" t="s">
        <v>226</v>
      </c>
    </row>
    <row r="9" spans="1:6" ht="16" x14ac:dyDescent="0.2">
      <c r="A9" s="9">
        <v>8</v>
      </c>
      <c r="B9" s="10" t="str">
        <f>"11042"</f>
        <v>11042</v>
      </c>
      <c r="C9" s="11" t="s">
        <v>225</v>
      </c>
      <c r="D9" s="10">
        <v>2011</v>
      </c>
      <c r="E9" s="11" t="s">
        <v>13</v>
      </c>
      <c r="F9" s="13" t="s">
        <v>224</v>
      </c>
    </row>
    <row r="10" spans="1:6" ht="16" x14ac:dyDescent="0.2">
      <c r="A10" s="9">
        <v>9</v>
      </c>
      <c r="B10" s="10" t="str">
        <f>"12010"</f>
        <v>12010</v>
      </c>
      <c r="C10" s="11" t="s">
        <v>223</v>
      </c>
      <c r="D10" s="10">
        <v>2012</v>
      </c>
      <c r="E10" s="11" t="s">
        <v>22</v>
      </c>
      <c r="F10" s="13" t="s">
        <v>222</v>
      </c>
    </row>
    <row r="11" spans="1:6" ht="16" x14ac:dyDescent="0.2">
      <c r="A11" s="9">
        <v>10</v>
      </c>
      <c r="B11" s="10" t="str">
        <f>"11017"</f>
        <v>11017</v>
      </c>
      <c r="C11" s="11" t="s">
        <v>221</v>
      </c>
      <c r="D11" s="10">
        <v>2011</v>
      </c>
      <c r="E11" s="11" t="s">
        <v>220</v>
      </c>
      <c r="F11" s="13" t="s">
        <v>219</v>
      </c>
    </row>
    <row r="12" spans="1:6" ht="16" x14ac:dyDescent="0.2">
      <c r="A12" s="9">
        <v>11</v>
      </c>
      <c r="B12" s="10" t="str">
        <f>"12006"</f>
        <v>12006</v>
      </c>
      <c r="C12" s="11" t="s">
        <v>218</v>
      </c>
      <c r="D12" s="10">
        <v>2012</v>
      </c>
      <c r="E12" s="11" t="s">
        <v>22</v>
      </c>
      <c r="F12" s="13" t="s">
        <v>217</v>
      </c>
    </row>
    <row r="13" spans="1:6" ht="16" x14ac:dyDescent="0.2">
      <c r="A13" s="9">
        <v>12</v>
      </c>
      <c r="B13" s="10" t="str">
        <f>"11026"</f>
        <v>11026</v>
      </c>
      <c r="C13" s="11" t="s">
        <v>216</v>
      </c>
      <c r="D13" s="10">
        <v>2011</v>
      </c>
      <c r="E13" s="11" t="s">
        <v>16</v>
      </c>
      <c r="F13" s="13" t="s">
        <v>215</v>
      </c>
    </row>
    <row r="14" spans="1:6" ht="16" x14ac:dyDescent="0.2">
      <c r="A14" s="9">
        <v>13</v>
      </c>
      <c r="B14" s="10" t="str">
        <f>"12009"</f>
        <v>12009</v>
      </c>
      <c r="C14" s="11" t="s">
        <v>214</v>
      </c>
      <c r="D14" s="10">
        <v>2012</v>
      </c>
      <c r="E14" s="11" t="s">
        <v>22</v>
      </c>
      <c r="F14" s="13" t="s">
        <v>213</v>
      </c>
    </row>
    <row r="15" spans="1:6" ht="16" x14ac:dyDescent="0.2">
      <c r="A15" s="9">
        <v>14</v>
      </c>
      <c r="B15" s="10" t="str">
        <f>"12007"</f>
        <v>12007</v>
      </c>
      <c r="C15" s="11" t="s">
        <v>212</v>
      </c>
      <c r="D15" s="10">
        <v>2012</v>
      </c>
      <c r="E15" s="11" t="s">
        <v>22</v>
      </c>
      <c r="F15" s="13" t="s">
        <v>211</v>
      </c>
    </row>
    <row r="16" spans="1:6" ht="16" x14ac:dyDescent="0.2">
      <c r="A16" s="9">
        <v>15</v>
      </c>
      <c r="B16" s="10" t="str">
        <f>"11022"</f>
        <v>11022</v>
      </c>
      <c r="C16" s="11" t="s">
        <v>210</v>
      </c>
      <c r="D16" s="10">
        <v>2011</v>
      </c>
      <c r="E16" s="11" t="s">
        <v>19</v>
      </c>
      <c r="F16" s="13" t="s">
        <v>209</v>
      </c>
    </row>
    <row r="17" spans="1:6" ht="16" x14ac:dyDescent="0.2">
      <c r="A17" s="9">
        <v>16</v>
      </c>
      <c r="B17" s="10" t="str">
        <f>"11015"</f>
        <v>11015</v>
      </c>
      <c r="C17" s="11" t="s">
        <v>208</v>
      </c>
      <c r="D17" s="10">
        <v>2011</v>
      </c>
      <c r="E17" s="11" t="s">
        <v>113</v>
      </c>
      <c r="F17" s="13" t="s">
        <v>207</v>
      </c>
    </row>
    <row r="18" spans="1:6" ht="16" x14ac:dyDescent="0.2">
      <c r="A18" s="9">
        <v>17</v>
      </c>
      <c r="B18" s="10" t="str">
        <f>"12003"</f>
        <v>12003</v>
      </c>
      <c r="C18" s="11" t="s">
        <v>206</v>
      </c>
      <c r="D18" s="10">
        <v>2012</v>
      </c>
      <c r="E18" s="11" t="s">
        <v>10</v>
      </c>
      <c r="F18" s="13" t="s">
        <v>205</v>
      </c>
    </row>
    <row r="19" spans="1:6" ht="16" x14ac:dyDescent="0.2">
      <c r="A19" s="9">
        <v>18</v>
      </c>
      <c r="B19" s="10" t="str">
        <f>"12005"</f>
        <v>12005</v>
      </c>
      <c r="C19" s="11" t="s">
        <v>204</v>
      </c>
      <c r="D19" s="10">
        <v>2012</v>
      </c>
      <c r="E19" s="11" t="s">
        <v>10</v>
      </c>
      <c r="F19" s="13" t="s">
        <v>203</v>
      </c>
    </row>
    <row r="20" spans="1:6" ht="16" x14ac:dyDescent="0.2">
      <c r="A20" s="9">
        <v>19</v>
      </c>
      <c r="B20" s="10" t="str">
        <f>"11008"</f>
        <v>11008</v>
      </c>
      <c r="C20" s="11" t="s">
        <v>202</v>
      </c>
      <c r="D20" s="10">
        <v>2011</v>
      </c>
      <c r="E20" s="11" t="s">
        <v>51</v>
      </c>
      <c r="F20" s="13" t="s">
        <v>201</v>
      </c>
    </row>
    <row r="21" spans="1:6" ht="16" x14ac:dyDescent="0.2">
      <c r="A21" s="9">
        <v>20</v>
      </c>
      <c r="B21" s="10" t="str">
        <f>"11025"</f>
        <v>11025</v>
      </c>
      <c r="C21" s="11" t="s">
        <v>200</v>
      </c>
      <c r="D21" s="10">
        <v>2011</v>
      </c>
      <c r="E21" s="11" t="s">
        <v>51</v>
      </c>
      <c r="F21" s="13" t="s">
        <v>199</v>
      </c>
    </row>
    <row r="22" spans="1:6" ht="16" x14ac:dyDescent="0.2">
      <c r="A22" s="9">
        <v>21</v>
      </c>
      <c r="B22" s="10" t="str">
        <f>"12011"</f>
        <v>12011</v>
      </c>
      <c r="C22" s="11" t="s">
        <v>198</v>
      </c>
      <c r="D22" s="10">
        <v>2012</v>
      </c>
      <c r="E22" s="11" t="s">
        <v>79</v>
      </c>
      <c r="F22" s="13" t="s">
        <v>197</v>
      </c>
    </row>
    <row r="23" spans="1:6" ht="16" x14ac:dyDescent="0.2">
      <c r="A23" s="9">
        <v>22</v>
      </c>
      <c r="B23" s="10" t="str">
        <f>"12017"</f>
        <v>12017</v>
      </c>
      <c r="C23" s="11" t="s">
        <v>196</v>
      </c>
      <c r="D23" s="10">
        <v>2012</v>
      </c>
      <c r="E23" s="11" t="s">
        <v>22</v>
      </c>
      <c r="F23" s="13" t="s">
        <v>195</v>
      </c>
    </row>
    <row r="24" spans="1:6" ht="16" x14ac:dyDescent="0.2">
      <c r="A24" s="9">
        <v>23</v>
      </c>
      <c r="B24" s="10" t="str">
        <f>"11041"</f>
        <v>11041</v>
      </c>
      <c r="C24" s="11" t="s">
        <v>194</v>
      </c>
      <c r="D24" s="10">
        <v>2011</v>
      </c>
      <c r="E24" s="11" t="s">
        <v>51</v>
      </c>
      <c r="F24" s="13" t="s">
        <v>193</v>
      </c>
    </row>
    <row r="25" spans="1:6" ht="16" x14ac:dyDescent="0.2">
      <c r="A25" s="9">
        <v>24</v>
      </c>
      <c r="B25" s="10" t="str">
        <f>"11039"</f>
        <v>11039</v>
      </c>
      <c r="C25" s="11" t="s">
        <v>192</v>
      </c>
      <c r="D25" s="10">
        <v>2011</v>
      </c>
      <c r="E25" s="11" t="s">
        <v>122</v>
      </c>
      <c r="F25" s="13" t="s">
        <v>191</v>
      </c>
    </row>
    <row r="26" spans="1:6" ht="16" x14ac:dyDescent="0.2">
      <c r="A26" s="9">
        <v>25</v>
      </c>
      <c r="B26" s="10" t="str">
        <f>"11040"</f>
        <v>11040</v>
      </c>
      <c r="C26" s="11" t="s">
        <v>190</v>
      </c>
      <c r="D26" s="10">
        <v>2011</v>
      </c>
      <c r="E26" s="11" t="s">
        <v>51</v>
      </c>
      <c r="F26" s="13" t="s">
        <v>189</v>
      </c>
    </row>
    <row r="27" spans="1:6" ht="16" x14ac:dyDescent="0.2">
      <c r="A27" s="9">
        <v>26</v>
      </c>
      <c r="B27" s="10" t="str">
        <f>"11023"</f>
        <v>11023</v>
      </c>
      <c r="C27" s="11" t="s">
        <v>188</v>
      </c>
      <c r="D27" s="10">
        <v>2011</v>
      </c>
      <c r="E27" s="11" t="s">
        <v>187</v>
      </c>
      <c r="F27" s="13" t="s">
        <v>186</v>
      </c>
    </row>
    <row r="28" spans="1:6" ht="16" x14ac:dyDescent="0.2">
      <c r="A28" s="9">
        <v>27</v>
      </c>
      <c r="B28" s="10" t="str">
        <f>"12008"</f>
        <v>12008</v>
      </c>
      <c r="C28" s="11" t="s">
        <v>185</v>
      </c>
      <c r="D28" s="10">
        <v>2012</v>
      </c>
      <c r="E28" s="11" t="s">
        <v>79</v>
      </c>
      <c r="F28" s="13" t="s">
        <v>184</v>
      </c>
    </row>
    <row r="29" spans="1:6" ht="16" x14ac:dyDescent="0.2">
      <c r="A29" s="9">
        <v>28</v>
      </c>
      <c r="B29" s="10" t="str">
        <f>"12021"</f>
        <v>12021</v>
      </c>
      <c r="C29" s="11" t="s">
        <v>183</v>
      </c>
      <c r="D29" s="10">
        <v>2012</v>
      </c>
      <c r="E29" s="11" t="s">
        <v>113</v>
      </c>
      <c r="F29" s="13" t="s">
        <v>182</v>
      </c>
    </row>
    <row r="30" spans="1:6" ht="16" x14ac:dyDescent="0.2">
      <c r="A30" s="9">
        <v>29</v>
      </c>
      <c r="B30" s="10" t="str">
        <f>"12028"</f>
        <v>12028</v>
      </c>
      <c r="C30" s="11" t="s">
        <v>181</v>
      </c>
      <c r="D30" s="10">
        <v>2012</v>
      </c>
      <c r="E30" s="11" t="s">
        <v>13</v>
      </c>
      <c r="F30" s="13" t="s">
        <v>180</v>
      </c>
    </row>
    <row r="31" spans="1:6" ht="16" x14ac:dyDescent="0.2">
      <c r="A31" s="9">
        <v>30</v>
      </c>
      <c r="B31" s="10" t="str">
        <f>"11032"</f>
        <v>11032</v>
      </c>
      <c r="C31" s="11" t="s">
        <v>179</v>
      </c>
      <c r="D31" s="10">
        <v>2011</v>
      </c>
      <c r="E31" s="11" t="s">
        <v>7</v>
      </c>
      <c r="F31" s="13" t="s">
        <v>178</v>
      </c>
    </row>
    <row r="32" spans="1:6" ht="16" x14ac:dyDescent="0.2">
      <c r="A32" s="9">
        <v>31</v>
      </c>
      <c r="B32" s="10" t="str">
        <f>"12012"</f>
        <v>12012</v>
      </c>
      <c r="C32" s="11" t="s">
        <v>177</v>
      </c>
      <c r="D32" s="10">
        <v>2012</v>
      </c>
      <c r="E32" s="11" t="s">
        <v>19</v>
      </c>
      <c r="F32" s="13" t="s">
        <v>176</v>
      </c>
    </row>
    <row r="33" spans="1:6" ht="16" x14ac:dyDescent="0.2">
      <c r="A33" s="9">
        <v>32</v>
      </c>
      <c r="B33" s="10" t="str">
        <f>"12002"</f>
        <v>12002</v>
      </c>
      <c r="C33" s="11" t="s">
        <v>175</v>
      </c>
      <c r="D33" s="10">
        <v>2012</v>
      </c>
      <c r="E33" s="11" t="s">
        <v>113</v>
      </c>
      <c r="F33" s="13" t="s">
        <v>174</v>
      </c>
    </row>
    <row r="34" spans="1:6" ht="16" x14ac:dyDescent="0.2">
      <c r="A34" s="9">
        <v>33</v>
      </c>
      <c r="B34" s="10" t="str">
        <f>"11019"</f>
        <v>11019</v>
      </c>
      <c r="C34" s="11" t="s">
        <v>173</v>
      </c>
      <c r="D34" s="10">
        <v>2011</v>
      </c>
      <c r="E34" s="11" t="s">
        <v>31</v>
      </c>
      <c r="F34" s="13" t="s">
        <v>172</v>
      </c>
    </row>
    <row r="35" spans="1:6" ht="16" x14ac:dyDescent="0.2">
      <c r="A35" s="9">
        <v>34</v>
      </c>
      <c r="B35" s="10" t="str">
        <f>"11050"</f>
        <v>11050</v>
      </c>
      <c r="C35" s="11" t="s">
        <v>171</v>
      </c>
      <c r="D35" s="10">
        <v>2011</v>
      </c>
      <c r="E35" s="11" t="s">
        <v>13</v>
      </c>
      <c r="F35" s="13" t="s">
        <v>170</v>
      </c>
    </row>
    <row r="36" spans="1:6" ht="16" x14ac:dyDescent="0.2">
      <c r="A36" s="9">
        <v>35</v>
      </c>
      <c r="B36" s="10" t="str">
        <f>"12029"</f>
        <v>12029</v>
      </c>
      <c r="C36" s="11" t="s">
        <v>169</v>
      </c>
      <c r="D36" s="10">
        <v>2012</v>
      </c>
      <c r="E36" s="11" t="s">
        <v>110</v>
      </c>
      <c r="F36" s="13" t="s">
        <v>168</v>
      </c>
    </row>
    <row r="37" spans="1:6" ht="16" x14ac:dyDescent="0.2">
      <c r="A37" s="9">
        <v>36</v>
      </c>
      <c r="B37" s="10" t="str">
        <f>"11044"</f>
        <v>11044</v>
      </c>
      <c r="C37" s="11" t="s">
        <v>167</v>
      </c>
      <c r="D37" s="10">
        <v>2011</v>
      </c>
      <c r="E37" s="11" t="s">
        <v>31</v>
      </c>
      <c r="F37" s="13" t="s">
        <v>166</v>
      </c>
    </row>
    <row r="38" spans="1:6" ht="16" x14ac:dyDescent="0.2">
      <c r="A38" s="9">
        <v>37</v>
      </c>
      <c r="B38" s="10" t="str">
        <f>"11047"</f>
        <v>11047</v>
      </c>
      <c r="C38" s="11" t="s">
        <v>165</v>
      </c>
      <c r="D38" s="10">
        <v>2011</v>
      </c>
      <c r="E38" s="11" t="s">
        <v>122</v>
      </c>
      <c r="F38" s="13" t="s">
        <v>164</v>
      </c>
    </row>
    <row r="39" spans="1:6" ht="16" x14ac:dyDescent="0.2">
      <c r="A39" s="9">
        <v>38</v>
      </c>
      <c r="B39" s="10" t="str">
        <f>"11045"</f>
        <v>11045</v>
      </c>
      <c r="C39" s="11" t="s">
        <v>163</v>
      </c>
      <c r="D39" s="10">
        <v>2011</v>
      </c>
      <c r="E39" s="11" t="s">
        <v>122</v>
      </c>
      <c r="F39" s="13" t="s">
        <v>162</v>
      </c>
    </row>
    <row r="40" spans="1:6" ht="16" x14ac:dyDescent="0.2">
      <c r="A40" s="9" t="s">
        <v>158</v>
      </c>
      <c r="B40" s="10" t="str">
        <f>"11028"</f>
        <v>11028</v>
      </c>
      <c r="C40" s="11" t="s">
        <v>161</v>
      </c>
      <c r="D40" s="10">
        <v>2011</v>
      </c>
      <c r="E40" s="11" t="s">
        <v>31</v>
      </c>
      <c r="F40" s="13" t="s">
        <v>40</v>
      </c>
    </row>
    <row r="41" spans="1:6" ht="16" x14ac:dyDescent="0.2">
      <c r="A41" s="9" t="s">
        <v>158</v>
      </c>
      <c r="B41" s="10" t="str">
        <f>"12022"</f>
        <v>12022</v>
      </c>
      <c r="C41" s="11" t="s">
        <v>160</v>
      </c>
      <c r="D41" s="10">
        <v>2012</v>
      </c>
      <c r="E41" s="11" t="s">
        <v>122</v>
      </c>
      <c r="F41" s="13" t="s">
        <v>40</v>
      </c>
    </row>
    <row r="42" spans="1:6" ht="16" x14ac:dyDescent="0.2">
      <c r="A42" s="9" t="s">
        <v>158</v>
      </c>
      <c r="B42" s="10" t="str">
        <f>"11043"</f>
        <v>11043</v>
      </c>
      <c r="C42" s="11" t="s">
        <v>159</v>
      </c>
      <c r="D42" s="10">
        <v>2011</v>
      </c>
      <c r="E42" s="11" t="s">
        <v>19</v>
      </c>
      <c r="F42" s="13" t="s">
        <v>40</v>
      </c>
    </row>
    <row r="43" spans="1:6" ht="16" x14ac:dyDescent="0.2">
      <c r="A43" s="9" t="s">
        <v>158</v>
      </c>
      <c r="B43" s="10" t="str">
        <f>"12027"</f>
        <v>12027</v>
      </c>
      <c r="C43" s="11" t="s">
        <v>157</v>
      </c>
      <c r="D43" s="10">
        <v>2012</v>
      </c>
      <c r="E43" s="11" t="s">
        <v>31</v>
      </c>
      <c r="F43" s="13" t="s">
        <v>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A9621-FBFF-BF42-87B5-E6BBA1A9869E}">
  <dimension ref="A1:F30"/>
  <sheetViews>
    <sheetView topLeftCell="A13" workbookViewId="0"/>
  </sheetViews>
  <sheetFormatPr baseColWidth="10" defaultColWidth="8.6640625" defaultRowHeight="15" x14ac:dyDescent="0.2"/>
  <cols>
    <col min="1" max="1" width="6.6640625" style="3" customWidth="1"/>
    <col min="2" max="2" width="8.6640625" style="4" customWidth="1"/>
    <col min="3" max="3" width="24.6640625" style="5" customWidth="1"/>
    <col min="4" max="4" width="8.6640625" style="4" customWidth="1"/>
    <col min="5" max="5" width="28.6640625" style="5" customWidth="1"/>
    <col min="6" max="6" width="8.6640625" style="14" customWidth="1"/>
    <col min="7" max="16384" width="8.6640625" style="1"/>
  </cols>
  <sheetData>
    <row r="1" spans="1:6" s="2" customFormat="1" ht="14" x14ac:dyDescent="0.15">
      <c r="A1" s="6" t="s">
        <v>0</v>
      </c>
      <c r="B1" s="7" t="s">
        <v>1</v>
      </c>
      <c r="C1" s="8" t="s">
        <v>2</v>
      </c>
      <c r="D1" s="7" t="s">
        <v>3</v>
      </c>
      <c r="E1" s="8" t="s">
        <v>4</v>
      </c>
      <c r="F1" s="12" t="s">
        <v>5</v>
      </c>
    </row>
    <row r="2" spans="1:6" ht="16" x14ac:dyDescent="0.2">
      <c r="A2" s="9">
        <v>1</v>
      </c>
      <c r="B2" s="10" t="str">
        <f>"07502"</f>
        <v>07502</v>
      </c>
      <c r="C2" s="11" t="s">
        <v>156</v>
      </c>
      <c r="D2" s="10">
        <v>2007</v>
      </c>
      <c r="E2" s="11" t="s">
        <v>22</v>
      </c>
      <c r="F2" s="13" t="s">
        <v>155</v>
      </c>
    </row>
    <row r="3" spans="1:6" ht="16" x14ac:dyDescent="0.2">
      <c r="A3" s="9">
        <v>2</v>
      </c>
      <c r="B3" s="10" t="str">
        <f>"08509"</f>
        <v>08509</v>
      </c>
      <c r="C3" s="11" t="s">
        <v>154</v>
      </c>
      <c r="D3" s="10">
        <v>2008</v>
      </c>
      <c r="E3" s="11" t="s">
        <v>19</v>
      </c>
      <c r="F3" s="13" t="s">
        <v>153</v>
      </c>
    </row>
    <row r="4" spans="1:6" ht="16" x14ac:dyDescent="0.2">
      <c r="A4" s="9">
        <v>3</v>
      </c>
      <c r="B4" s="10" t="str">
        <f>"08510"</f>
        <v>08510</v>
      </c>
      <c r="C4" s="11" t="s">
        <v>152</v>
      </c>
      <c r="D4" s="10">
        <v>2008</v>
      </c>
      <c r="E4" s="11" t="s">
        <v>22</v>
      </c>
      <c r="F4" s="13" t="s">
        <v>151</v>
      </c>
    </row>
    <row r="5" spans="1:6" ht="16" x14ac:dyDescent="0.2">
      <c r="A5" s="9">
        <v>4</v>
      </c>
      <c r="B5" s="10" t="str">
        <f>"07525"</f>
        <v>07525</v>
      </c>
      <c r="C5" s="11" t="s">
        <v>150</v>
      </c>
      <c r="D5" s="10">
        <v>2007</v>
      </c>
      <c r="E5" s="11" t="s">
        <v>110</v>
      </c>
      <c r="F5" s="13" t="s">
        <v>149</v>
      </c>
    </row>
    <row r="6" spans="1:6" ht="16" x14ac:dyDescent="0.2">
      <c r="A6" s="9">
        <v>5</v>
      </c>
      <c r="B6" s="10" t="str">
        <f>"07537"</f>
        <v>07537</v>
      </c>
      <c r="C6" s="11" t="s">
        <v>148</v>
      </c>
      <c r="D6" s="10">
        <v>2007</v>
      </c>
      <c r="E6" s="11" t="s">
        <v>147</v>
      </c>
      <c r="F6" s="13" t="s">
        <v>146</v>
      </c>
    </row>
    <row r="7" spans="1:6" ht="16" x14ac:dyDescent="0.2">
      <c r="A7" s="9">
        <v>6</v>
      </c>
      <c r="B7" s="10" t="str">
        <f>"08535"</f>
        <v>08535</v>
      </c>
      <c r="C7" s="11" t="s">
        <v>145</v>
      </c>
      <c r="D7" s="10">
        <v>2008</v>
      </c>
      <c r="E7" s="11" t="s">
        <v>22</v>
      </c>
      <c r="F7" s="13" t="s">
        <v>144</v>
      </c>
    </row>
    <row r="8" spans="1:6" ht="16" x14ac:dyDescent="0.2">
      <c r="A8" s="9">
        <v>7</v>
      </c>
      <c r="B8" s="10" t="str">
        <f>"08503"</f>
        <v>08503</v>
      </c>
      <c r="C8" s="11" t="s">
        <v>143</v>
      </c>
      <c r="D8" s="10">
        <v>2008</v>
      </c>
      <c r="E8" s="11" t="s">
        <v>13</v>
      </c>
      <c r="F8" s="13" t="s">
        <v>142</v>
      </c>
    </row>
    <row r="9" spans="1:6" ht="16" x14ac:dyDescent="0.2">
      <c r="A9" s="9">
        <v>8</v>
      </c>
      <c r="B9" s="10" t="str">
        <f>"08513"</f>
        <v>08513</v>
      </c>
      <c r="C9" s="11" t="s">
        <v>141</v>
      </c>
      <c r="D9" s="10">
        <v>2008</v>
      </c>
      <c r="E9" s="11" t="s">
        <v>79</v>
      </c>
      <c r="F9" s="13" t="s">
        <v>140</v>
      </c>
    </row>
    <row r="10" spans="1:6" ht="16" x14ac:dyDescent="0.2">
      <c r="A10" s="9">
        <v>9</v>
      </c>
      <c r="B10" s="10" t="str">
        <f>"08516"</f>
        <v>08516</v>
      </c>
      <c r="C10" s="11" t="s">
        <v>139</v>
      </c>
      <c r="D10" s="10">
        <v>2008</v>
      </c>
      <c r="E10" s="11" t="s">
        <v>51</v>
      </c>
      <c r="F10" s="13" t="s">
        <v>138</v>
      </c>
    </row>
    <row r="11" spans="1:6" ht="16" x14ac:dyDescent="0.2">
      <c r="A11" s="9">
        <v>10</v>
      </c>
      <c r="B11" s="10" t="str">
        <f>"07509"</f>
        <v>07509</v>
      </c>
      <c r="C11" s="11" t="s">
        <v>137</v>
      </c>
      <c r="D11" s="10">
        <v>2007</v>
      </c>
      <c r="E11" s="11" t="s">
        <v>79</v>
      </c>
      <c r="F11" s="13" t="s">
        <v>136</v>
      </c>
    </row>
    <row r="12" spans="1:6" ht="16" x14ac:dyDescent="0.2">
      <c r="A12" s="9">
        <v>11</v>
      </c>
      <c r="B12" s="10" t="str">
        <f>"07517"</f>
        <v>07517</v>
      </c>
      <c r="C12" s="11" t="s">
        <v>135</v>
      </c>
      <c r="D12" s="10">
        <v>2007</v>
      </c>
      <c r="E12" s="11" t="s">
        <v>13</v>
      </c>
      <c r="F12" s="13" t="s">
        <v>134</v>
      </c>
    </row>
    <row r="13" spans="1:6" ht="16" x14ac:dyDescent="0.2">
      <c r="A13" s="9">
        <v>12</v>
      </c>
      <c r="B13" s="10" t="str">
        <f>"08515"</f>
        <v>08515</v>
      </c>
      <c r="C13" s="11" t="s">
        <v>133</v>
      </c>
      <c r="D13" s="10">
        <v>2008</v>
      </c>
      <c r="E13" s="11" t="s">
        <v>10</v>
      </c>
      <c r="F13" s="13" t="s">
        <v>132</v>
      </c>
    </row>
    <row r="14" spans="1:6" ht="16" x14ac:dyDescent="0.2">
      <c r="A14" s="9">
        <v>13</v>
      </c>
      <c r="B14" s="10" t="str">
        <f>"08520"</f>
        <v>08520</v>
      </c>
      <c r="C14" s="11" t="s">
        <v>131</v>
      </c>
      <c r="D14" s="10">
        <v>2008</v>
      </c>
      <c r="E14" s="11" t="s">
        <v>7</v>
      </c>
      <c r="F14" s="13" t="s">
        <v>130</v>
      </c>
    </row>
    <row r="15" spans="1:6" ht="16" x14ac:dyDescent="0.2">
      <c r="A15" s="9">
        <v>14</v>
      </c>
      <c r="B15" s="10" t="str">
        <f>"07528"</f>
        <v>07528</v>
      </c>
      <c r="C15" s="11" t="s">
        <v>129</v>
      </c>
      <c r="D15" s="10">
        <v>2007</v>
      </c>
      <c r="E15" s="11" t="s">
        <v>122</v>
      </c>
      <c r="F15" s="13" t="s">
        <v>128</v>
      </c>
    </row>
    <row r="16" spans="1:6" ht="16" x14ac:dyDescent="0.2">
      <c r="A16" s="9">
        <v>15</v>
      </c>
      <c r="B16" s="10" t="str">
        <f>"07515"</f>
        <v>07515</v>
      </c>
      <c r="C16" s="11" t="s">
        <v>127</v>
      </c>
      <c r="D16" s="10">
        <v>2007</v>
      </c>
      <c r="E16" s="11" t="s">
        <v>13</v>
      </c>
      <c r="F16" s="13" t="s">
        <v>126</v>
      </c>
    </row>
    <row r="17" spans="1:6" ht="16" x14ac:dyDescent="0.2">
      <c r="A17" s="9">
        <v>16</v>
      </c>
      <c r="B17" s="10" t="str">
        <f>"08545"</f>
        <v>08545</v>
      </c>
      <c r="C17" s="11" t="s">
        <v>125</v>
      </c>
      <c r="D17" s="10">
        <v>2008</v>
      </c>
      <c r="E17" s="11" t="s">
        <v>76</v>
      </c>
      <c r="F17" s="13" t="s">
        <v>124</v>
      </c>
    </row>
    <row r="18" spans="1:6" ht="16" x14ac:dyDescent="0.2">
      <c r="A18" s="9">
        <v>17</v>
      </c>
      <c r="B18" s="10" t="str">
        <f>"08537"</f>
        <v>08537</v>
      </c>
      <c r="C18" s="11" t="s">
        <v>123</v>
      </c>
      <c r="D18" s="10">
        <v>2008</v>
      </c>
      <c r="E18" s="11" t="s">
        <v>122</v>
      </c>
      <c r="F18" s="13" t="s">
        <v>121</v>
      </c>
    </row>
    <row r="19" spans="1:6" ht="16" x14ac:dyDescent="0.2">
      <c r="A19" s="9">
        <v>18</v>
      </c>
      <c r="B19" s="10" t="str">
        <f>"07544"</f>
        <v>07544</v>
      </c>
      <c r="C19" s="11" t="s">
        <v>120</v>
      </c>
      <c r="D19" s="10">
        <v>2007</v>
      </c>
      <c r="E19" s="11" t="s">
        <v>34</v>
      </c>
      <c r="F19" s="13" t="s">
        <v>119</v>
      </c>
    </row>
    <row r="20" spans="1:6" ht="16" x14ac:dyDescent="0.2">
      <c r="A20" s="9">
        <v>19</v>
      </c>
      <c r="B20" s="10" t="str">
        <f>"08504"</f>
        <v>08504</v>
      </c>
      <c r="C20" s="11" t="s">
        <v>118</v>
      </c>
      <c r="D20" s="10">
        <v>2008</v>
      </c>
      <c r="E20" s="11" t="s">
        <v>19</v>
      </c>
      <c r="F20" s="13" t="s">
        <v>117</v>
      </c>
    </row>
    <row r="21" spans="1:6" ht="16" x14ac:dyDescent="0.2">
      <c r="A21" s="9">
        <v>20</v>
      </c>
      <c r="B21" s="10" t="str">
        <f>"08541"</f>
        <v>08541</v>
      </c>
      <c r="C21" s="11" t="s">
        <v>116</v>
      </c>
      <c r="D21" s="10">
        <v>2008</v>
      </c>
      <c r="E21" s="11" t="s">
        <v>13</v>
      </c>
      <c r="F21" s="13" t="s">
        <v>115</v>
      </c>
    </row>
    <row r="22" spans="1:6" ht="16" x14ac:dyDescent="0.2">
      <c r="A22" s="9">
        <v>21</v>
      </c>
      <c r="B22" s="10" t="str">
        <f>"08533"</f>
        <v>08533</v>
      </c>
      <c r="C22" s="11" t="s">
        <v>114</v>
      </c>
      <c r="D22" s="10">
        <v>2008</v>
      </c>
      <c r="E22" s="11" t="s">
        <v>113</v>
      </c>
      <c r="F22" s="13" t="s">
        <v>112</v>
      </c>
    </row>
    <row r="23" spans="1:6" ht="16" x14ac:dyDescent="0.2">
      <c r="A23" s="9">
        <v>22</v>
      </c>
      <c r="B23" s="10" t="str">
        <f>"08544"</f>
        <v>08544</v>
      </c>
      <c r="C23" s="11" t="s">
        <v>111</v>
      </c>
      <c r="D23" s="10">
        <v>2008</v>
      </c>
      <c r="E23" s="11" t="s">
        <v>110</v>
      </c>
      <c r="F23" s="13" t="s">
        <v>109</v>
      </c>
    </row>
    <row r="24" spans="1:6" ht="16" x14ac:dyDescent="0.2">
      <c r="A24" s="9">
        <v>23</v>
      </c>
      <c r="B24" s="10" t="str">
        <f>"08505"</f>
        <v>08505</v>
      </c>
      <c r="C24" s="11" t="s">
        <v>108</v>
      </c>
      <c r="D24" s="10">
        <v>2008</v>
      </c>
      <c r="E24" s="11" t="s">
        <v>19</v>
      </c>
      <c r="F24" s="13" t="s">
        <v>107</v>
      </c>
    </row>
    <row r="25" spans="1:6" ht="16" x14ac:dyDescent="0.2">
      <c r="A25" s="9">
        <v>24</v>
      </c>
      <c r="B25" s="10" t="str">
        <f>"08517"</f>
        <v>08517</v>
      </c>
      <c r="C25" s="11" t="s">
        <v>106</v>
      </c>
      <c r="D25" s="10">
        <v>2008</v>
      </c>
      <c r="E25" s="11" t="s">
        <v>31</v>
      </c>
      <c r="F25" s="13" t="s">
        <v>105</v>
      </c>
    </row>
    <row r="26" spans="1:6" ht="16" x14ac:dyDescent="0.2">
      <c r="A26" s="9">
        <v>25</v>
      </c>
      <c r="B26" s="10" t="str">
        <f>"08536"</f>
        <v>08536</v>
      </c>
      <c r="C26" s="11" t="s">
        <v>104</v>
      </c>
      <c r="D26" s="10">
        <v>2008</v>
      </c>
      <c r="E26" s="11" t="s">
        <v>16</v>
      </c>
      <c r="F26" s="13" t="s">
        <v>103</v>
      </c>
    </row>
    <row r="27" spans="1:6" ht="16" x14ac:dyDescent="0.2">
      <c r="A27" s="9">
        <v>26</v>
      </c>
      <c r="B27" s="10" t="str">
        <f>"08546"</f>
        <v>08546</v>
      </c>
      <c r="C27" s="11" t="s">
        <v>102</v>
      </c>
      <c r="D27" s="10">
        <v>2008</v>
      </c>
      <c r="E27" s="11" t="s">
        <v>16</v>
      </c>
      <c r="F27" s="13" t="s">
        <v>101</v>
      </c>
    </row>
    <row r="28" spans="1:6" ht="16" x14ac:dyDescent="0.2">
      <c r="A28" s="9">
        <v>27</v>
      </c>
      <c r="B28" s="10" t="str">
        <f>"07542"</f>
        <v>07542</v>
      </c>
      <c r="C28" s="11" t="s">
        <v>100</v>
      </c>
      <c r="D28" s="10">
        <v>2007</v>
      </c>
      <c r="E28" s="11" t="s">
        <v>13</v>
      </c>
      <c r="F28" s="13" t="s">
        <v>99</v>
      </c>
    </row>
    <row r="29" spans="1:6" ht="16" x14ac:dyDescent="0.2">
      <c r="A29" s="9" t="s">
        <v>97</v>
      </c>
      <c r="B29" s="10" t="str">
        <f>"07501"</f>
        <v>07501</v>
      </c>
      <c r="C29" s="11" t="s">
        <v>98</v>
      </c>
      <c r="D29" s="10">
        <v>2007</v>
      </c>
      <c r="E29" s="11" t="s">
        <v>22</v>
      </c>
      <c r="F29" s="13" t="s">
        <v>40</v>
      </c>
    </row>
    <row r="30" spans="1:6" ht="16" x14ac:dyDescent="0.2">
      <c r="A30" s="9" t="s">
        <v>97</v>
      </c>
      <c r="B30" s="10" t="str">
        <f>"07504"</f>
        <v>07504</v>
      </c>
      <c r="C30" s="11" t="s">
        <v>96</v>
      </c>
      <c r="D30" s="10">
        <v>2007</v>
      </c>
      <c r="E30" s="11" t="s">
        <v>95</v>
      </c>
      <c r="F30" s="13" t="s">
        <v>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86F0A-BC8B-1041-B05E-34CF5AF0A156}">
  <dimension ref="A1:F27"/>
  <sheetViews>
    <sheetView workbookViewId="0"/>
  </sheetViews>
  <sheetFormatPr baseColWidth="10" defaultColWidth="8.6640625" defaultRowHeight="15" x14ac:dyDescent="0.2"/>
  <cols>
    <col min="1" max="1" width="6.6640625" style="3" customWidth="1"/>
    <col min="2" max="2" width="8.6640625" style="4" customWidth="1"/>
    <col min="3" max="3" width="24.6640625" style="5" customWidth="1"/>
    <col min="4" max="4" width="8.6640625" style="4" customWidth="1"/>
    <col min="5" max="5" width="28.6640625" style="5" customWidth="1"/>
    <col min="6" max="6" width="8.6640625" style="14" customWidth="1"/>
    <col min="7" max="16384" width="8.6640625" style="1"/>
  </cols>
  <sheetData>
    <row r="1" spans="1:6" s="2" customFormat="1" ht="14" x14ac:dyDescent="0.15">
      <c r="A1" s="6" t="s">
        <v>0</v>
      </c>
      <c r="B1" s="7" t="s">
        <v>1</v>
      </c>
      <c r="C1" s="8" t="s">
        <v>2</v>
      </c>
      <c r="D1" s="7" t="s">
        <v>3</v>
      </c>
      <c r="E1" s="8" t="s">
        <v>4</v>
      </c>
      <c r="F1" s="12" t="s">
        <v>5</v>
      </c>
    </row>
    <row r="2" spans="1:6" ht="16" x14ac:dyDescent="0.2">
      <c r="A2" s="9">
        <v>1</v>
      </c>
      <c r="B2" s="10" t="str">
        <f>"07013"</f>
        <v>07013</v>
      </c>
      <c r="C2" s="11" t="s">
        <v>94</v>
      </c>
      <c r="D2" s="10">
        <v>2007</v>
      </c>
      <c r="E2" s="11" t="s">
        <v>19</v>
      </c>
      <c r="F2" s="13" t="s">
        <v>93</v>
      </c>
    </row>
    <row r="3" spans="1:6" ht="16" x14ac:dyDescent="0.2">
      <c r="A3" s="9">
        <v>2</v>
      </c>
      <c r="B3" s="10" t="str">
        <f>"08026"</f>
        <v>08026</v>
      </c>
      <c r="C3" s="11" t="s">
        <v>92</v>
      </c>
      <c r="D3" s="10">
        <v>2008</v>
      </c>
      <c r="E3" s="11" t="s">
        <v>19</v>
      </c>
      <c r="F3" s="13" t="s">
        <v>91</v>
      </c>
    </row>
    <row r="4" spans="1:6" ht="16" x14ac:dyDescent="0.2">
      <c r="A4" s="9">
        <v>3</v>
      </c>
      <c r="B4" s="10" t="str">
        <f>"08016"</f>
        <v>08016</v>
      </c>
      <c r="C4" s="11" t="s">
        <v>90</v>
      </c>
      <c r="D4" s="10">
        <v>2008</v>
      </c>
      <c r="E4" s="11" t="s">
        <v>79</v>
      </c>
      <c r="F4" s="13" t="s">
        <v>89</v>
      </c>
    </row>
    <row r="5" spans="1:6" ht="16" x14ac:dyDescent="0.2">
      <c r="A5" s="9">
        <v>4</v>
      </c>
      <c r="B5" s="10" t="str">
        <f>"07010"</f>
        <v>07010</v>
      </c>
      <c r="C5" s="11" t="s">
        <v>88</v>
      </c>
      <c r="D5" s="10">
        <v>2007</v>
      </c>
      <c r="E5" s="11" t="s">
        <v>79</v>
      </c>
      <c r="F5" s="13" t="s">
        <v>87</v>
      </c>
    </row>
    <row r="6" spans="1:6" ht="16" x14ac:dyDescent="0.2">
      <c r="A6" s="9">
        <v>5</v>
      </c>
      <c r="B6" s="10" t="str">
        <f>"07035"</f>
        <v>07035</v>
      </c>
      <c r="C6" s="11" t="s">
        <v>86</v>
      </c>
      <c r="D6" s="10">
        <v>2007</v>
      </c>
      <c r="E6" s="11" t="s">
        <v>19</v>
      </c>
      <c r="F6" s="13" t="s">
        <v>85</v>
      </c>
    </row>
    <row r="7" spans="1:6" ht="16" x14ac:dyDescent="0.2">
      <c r="A7" s="9">
        <v>6</v>
      </c>
      <c r="B7" s="10" t="str">
        <f>"07030"</f>
        <v>07030</v>
      </c>
      <c r="C7" s="11" t="s">
        <v>84</v>
      </c>
      <c r="D7" s="10">
        <v>2007</v>
      </c>
      <c r="E7" s="11" t="s">
        <v>79</v>
      </c>
      <c r="F7" s="13" t="s">
        <v>83</v>
      </c>
    </row>
    <row r="8" spans="1:6" ht="16" x14ac:dyDescent="0.2">
      <c r="A8" s="9">
        <v>7</v>
      </c>
      <c r="B8" s="10" t="str">
        <f>"08046"</f>
        <v>08046</v>
      </c>
      <c r="C8" s="11" t="s">
        <v>82</v>
      </c>
      <c r="D8" s="10">
        <v>2008</v>
      </c>
      <c r="E8" s="11" t="s">
        <v>13</v>
      </c>
      <c r="F8" s="13" t="s">
        <v>81</v>
      </c>
    </row>
    <row r="9" spans="1:6" ht="16" x14ac:dyDescent="0.2">
      <c r="A9" s="9">
        <v>8</v>
      </c>
      <c r="B9" s="10" t="str">
        <f>"08008"</f>
        <v>08008</v>
      </c>
      <c r="C9" s="11" t="s">
        <v>80</v>
      </c>
      <c r="D9" s="10">
        <v>2008</v>
      </c>
      <c r="E9" s="11" t="s">
        <v>79</v>
      </c>
      <c r="F9" s="13" t="s">
        <v>78</v>
      </c>
    </row>
    <row r="10" spans="1:6" ht="16" x14ac:dyDescent="0.2">
      <c r="A10" s="9">
        <v>9</v>
      </c>
      <c r="B10" s="10" t="str">
        <f>"08039"</f>
        <v>08039</v>
      </c>
      <c r="C10" s="11" t="s">
        <v>77</v>
      </c>
      <c r="D10" s="10">
        <v>2008</v>
      </c>
      <c r="E10" s="11" t="s">
        <v>76</v>
      </c>
      <c r="F10" s="13" t="s">
        <v>75</v>
      </c>
    </row>
    <row r="11" spans="1:6" ht="16" x14ac:dyDescent="0.2">
      <c r="A11" s="9">
        <v>10</v>
      </c>
      <c r="B11" s="10" t="str">
        <f>"07004"</f>
        <v>07004</v>
      </c>
      <c r="C11" s="11" t="s">
        <v>74</v>
      </c>
      <c r="D11" s="10">
        <v>2007</v>
      </c>
      <c r="E11" s="11" t="s">
        <v>16</v>
      </c>
      <c r="F11" s="13" t="s">
        <v>73</v>
      </c>
    </row>
    <row r="12" spans="1:6" ht="16" x14ac:dyDescent="0.2">
      <c r="A12" s="9">
        <v>11</v>
      </c>
      <c r="B12" s="10" t="str">
        <f>"08022"</f>
        <v>08022</v>
      </c>
      <c r="C12" s="11" t="s">
        <v>72</v>
      </c>
      <c r="D12" s="10">
        <v>2008</v>
      </c>
      <c r="E12" s="11" t="s">
        <v>10</v>
      </c>
      <c r="F12" s="13" t="s">
        <v>71</v>
      </c>
    </row>
    <row r="13" spans="1:6" ht="16" x14ac:dyDescent="0.2">
      <c r="A13" s="9">
        <v>12</v>
      </c>
      <c r="B13" s="10" t="str">
        <f>"08023"</f>
        <v>08023</v>
      </c>
      <c r="C13" s="11" t="s">
        <v>70</v>
      </c>
      <c r="D13" s="10">
        <v>2008</v>
      </c>
      <c r="E13" s="11" t="s">
        <v>51</v>
      </c>
      <c r="F13" s="13" t="s">
        <v>69</v>
      </c>
    </row>
    <row r="14" spans="1:6" ht="16" x14ac:dyDescent="0.2">
      <c r="A14" s="9">
        <v>13</v>
      </c>
      <c r="B14" s="10" t="str">
        <f>"08018"</f>
        <v>08018</v>
      </c>
      <c r="C14" s="11" t="s">
        <v>68</v>
      </c>
      <c r="D14" s="10">
        <v>2008</v>
      </c>
      <c r="E14" s="11" t="s">
        <v>10</v>
      </c>
      <c r="F14" s="13" t="s">
        <v>67</v>
      </c>
    </row>
    <row r="15" spans="1:6" ht="16" x14ac:dyDescent="0.2">
      <c r="A15" s="9">
        <v>14</v>
      </c>
      <c r="B15" s="10" t="str">
        <f>"08035"</f>
        <v>08035</v>
      </c>
      <c r="C15" s="11" t="s">
        <v>66</v>
      </c>
      <c r="D15" s="10">
        <v>2008</v>
      </c>
      <c r="E15" s="11" t="s">
        <v>22</v>
      </c>
      <c r="F15" s="13" t="s">
        <v>65</v>
      </c>
    </row>
    <row r="16" spans="1:6" ht="16" x14ac:dyDescent="0.2">
      <c r="A16" s="9">
        <v>15</v>
      </c>
      <c r="B16" s="10" t="str">
        <f>"08050"</f>
        <v>08050</v>
      </c>
      <c r="C16" s="11" t="s">
        <v>64</v>
      </c>
      <c r="D16" s="10">
        <v>2008</v>
      </c>
      <c r="E16" s="11" t="s">
        <v>31</v>
      </c>
      <c r="F16" s="13" t="s">
        <v>63</v>
      </c>
    </row>
    <row r="17" spans="1:6" ht="16" x14ac:dyDescent="0.2">
      <c r="A17" s="9">
        <v>16</v>
      </c>
      <c r="B17" s="10" t="str">
        <f>"08024"</f>
        <v>08024</v>
      </c>
      <c r="C17" s="11" t="s">
        <v>62</v>
      </c>
      <c r="D17" s="10">
        <v>2008</v>
      </c>
      <c r="E17" s="11" t="s">
        <v>7</v>
      </c>
      <c r="F17" s="13" t="s">
        <v>61</v>
      </c>
    </row>
    <row r="18" spans="1:6" ht="16" x14ac:dyDescent="0.2">
      <c r="A18" s="9">
        <v>17</v>
      </c>
      <c r="B18" s="10" t="str">
        <f>"07006"</f>
        <v>07006</v>
      </c>
      <c r="C18" s="11" t="s">
        <v>60</v>
      </c>
      <c r="D18" s="10">
        <v>2007</v>
      </c>
      <c r="E18" s="11" t="s">
        <v>7</v>
      </c>
      <c r="F18" s="13" t="s">
        <v>59</v>
      </c>
    </row>
    <row r="19" spans="1:6" ht="16" x14ac:dyDescent="0.2">
      <c r="A19" s="9">
        <v>18</v>
      </c>
      <c r="B19" s="10" t="str">
        <f>"07041"</f>
        <v>07041</v>
      </c>
      <c r="C19" s="11" t="s">
        <v>58</v>
      </c>
      <c r="D19" s="10">
        <v>2007</v>
      </c>
      <c r="E19" s="11" t="s">
        <v>31</v>
      </c>
      <c r="F19" s="13" t="s">
        <v>57</v>
      </c>
    </row>
    <row r="20" spans="1:6" ht="16" x14ac:dyDescent="0.2">
      <c r="A20" s="9">
        <v>19</v>
      </c>
      <c r="B20" s="10" t="str">
        <f>"07019"</f>
        <v>07019</v>
      </c>
      <c r="C20" s="11" t="s">
        <v>56</v>
      </c>
      <c r="D20" s="10">
        <v>2007</v>
      </c>
      <c r="E20" s="11" t="s">
        <v>7</v>
      </c>
      <c r="F20" s="13" t="s">
        <v>55</v>
      </c>
    </row>
    <row r="21" spans="1:6" ht="16" x14ac:dyDescent="0.2">
      <c r="A21" s="9">
        <v>20</v>
      </c>
      <c r="B21" s="10" t="str">
        <f>"07037"</f>
        <v>07037</v>
      </c>
      <c r="C21" s="11" t="s">
        <v>54</v>
      </c>
      <c r="D21" s="10">
        <v>2007</v>
      </c>
      <c r="E21" s="11" t="s">
        <v>13</v>
      </c>
      <c r="F21" s="13" t="s">
        <v>53</v>
      </c>
    </row>
    <row r="22" spans="1:6" ht="16" x14ac:dyDescent="0.2">
      <c r="A22" s="9">
        <v>21</v>
      </c>
      <c r="B22" s="10" t="str">
        <f>"07015"</f>
        <v>07015</v>
      </c>
      <c r="C22" s="11" t="s">
        <v>52</v>
      </c>
      <c r="D22" s="10">
        <v>2007</v>
      </c>
      <c r="E22" s="11" t="s">
        <v>51</v>
      </c>
      <c r="F22" s="13" t="s">
        <v>50</v>
      </c>
    </row>
    <row r="23" spans="1:6" ht="16" x14ac:dyDescent="0.2">
      <c r="A23" s="9">
        <v>22</v>
      </c>
      <c r="B23" s="10" t="str">
        <f>"07007"</f>
        <v>07007</v>
      </c>
      <c r="C23" s="11" t="s">
        <v>49</v>
      </c>
      <c r="D23" s="10">
        <v>2007</v>
      </c>
      <c r="E23" s="11" t="s">
        <v>7</v>
      </c>
      <c r="F23" s="13" t="s">
        <v>48</v>
      </c>
    </row>
    <row r="24" spans="1:6" ht="16" x14ac:dyDescent="0.2">
      <c r="A24" s="9">
        <v>23</v>
      </c>
      <c r="B24" s="10" t="str">
        <f>"08029"</f>
        <v>08029</v>
      </c>
      <c r="C24" s="11" t="s">
        <v>47</v>
      </c>
      <c r="D24" s="10">
        <v>2008</v>
      </c>
      <c r="E24" s="11" t="s">
        <v>10</v>
      </c>
      <c r="F24" s="13" t="s">
        <v>46</v>
      </c>
    </row>
    <row r="25" spans="1:6" ht="16" x14ac:dyDescent="0.2">
      <c r="A25" s="9">
        <v>24</v>
      </c>
      <c r="B25" s="10" t="str">
        <f>"07042"</f>
        <v>07042</v>
      </c>
      <c r="C25" s="11" t="s">
        <v>45</v>
      </c>
      <c r="D25" s="10">
        <v>2007</v>
      </c>
      <c r="E25" s="11" t="s">
        <v>16</v>
      </c>
      <c r="F25" s="13" t="s">
        <v>44</v>
      </c>
    </row>
    <row r="26" spans="1:6" ht="16" x14ac:dyDescent="0.2">
      <c r="A26" s="9" t="s">
        <v>42</v>
      </c>
      <c r="B26" s="10" t="str">
        <f>"07001"</f>
        <v>07001</v>
      </c>
      <c r="C26" s="11" t="s">
        <v>43</v>
      </c>
      <c r="D26" s="10">
        <v>2007</v>
      </c>
      <c r="E26" s="11" t="s">
        <v>22</v>
      </c>
      <c r="F26" s="13" t="s">
        <v>40</v>
      </c>
    </row>
    <row r="27" spans="1:6" ht="16" x14ac:dyDescent="0.2">
      <c r="A27" s="9" t="s">
        <v>42</v>
      </c>
      <c r="B27" s="10" t="str">
        <f>"07003"</f>
        <v>07003</v>
      </c>
      <c r="C27" s="11" t="s">
        <v>41</v>
      </c>
      <c r="D27" s="10">
        <v>2007</v>
      </c>
      <c r="E27" s="11" t="s">
        <v>16</v>
      </c>
      <c r="F27" s="13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528B4-25AE-4EBA-92D3-BF7EEE88A3F0}">
  <dimension ref="A1:F14"/>
  <sheetViews>
    <sheetView workbookViewId="0"/>
  </sheetViews>
  <sheetFormatPr baseColWidth="10" defaultColWidth="8.6640625" defaultRowHeight="15" x14ac:dyDescent="0.2"/>
  <cols>
    <col min="1" max="1" width="6.6640625" style="3" customWidth="1"/>
    <col min="2" max="2" width="8.6640625" style="4" customWidth="1"/>
    <col min="3" max="3" width="24.6640625" style="5" customWidth="1"/>
    <col min="4" max="4" width="8.6640625" style="4" customWidth="1"/>
    <col min="5" max="5" width="28.6640625" style="5" customWidth="1"/>
    <col min="6" max="6" width="8.6640625" style="14" customWidth="1"/>
    <col min="7" max="16384" width="8.6640625" style="1"/>
  </cols>
  <sheetData>
    <row r="1" spans="1:6" s="2" customFormat="1" ht="14" x14ac:dyDescent="0.15">
      <c r="A1" s="6" t="s">
        <v>0</v>
      </c>
      <c r="B1" s="7" t="s">
        <v>1</v>
      </c>
      <c r="C1" s="8" t="s">
        <v>2</v>
      </c>
      <c r="D1" s="7" t="s">
        <v>3</v>
      </c>
      <c r="E1" s="8" t="s">
        <v>4</v>
      </c>
      <c r="F1" s="12" t="s">
        <v>5</v>
      </c>
    </row>
    <row r="2" spans="1:6" ht="16" x14ac:dyDescent="0.2">
      <c r="A2" s="9">
        <v>1</v>
      </c>
      <c r="B2" s="10" t="str">
        <f>"99520"</f>
        <v>99520</v>
      </c>
      <c r="C2" s="11" t="s">
        <v>6</v>
      </c>
      <c r="D2" s="10">
        <v>1999</v>
      </c>
      <c r="E2" s="11" t="s">
        <v>7</v>
      </c>
      <c r="F2" s="13" t="s">
        <v>8</v>
      </c>
    </row>
    <row r="3" spans="1:6" ht="16" x14ac:dyDescent="0.2">
      <c r="A3" s="9">
        <v>2</v>
      </c>
      <c r="B3" s="10" t="str">
        <f>"95519"</f>
        <v>95519</v>
      </c>
      <c r="C3" s="11" t="s">
        <v>9</v>
      </c>
      <c r="D3" s="10">
        <v>1995</v>
      </c>
      <c r="E3" s="11" t="s">
        <v>10</v>
      </c>
      <c r="F3" s="13" t="s">
        <v>11</v>
      </c>
    </row>
    <row r="4" spans="1:6" ht="16" x14ac:dyDescent="0.2">
      <c r="A4" s="9">
        <v>3</v>
      </c>
      <c r="B4" s="10" t="str">
        <f>"99528"</f>
        <v>99528</v>
      </c>
      <c r="C4" s="11" t="s">
        <v>12</v>
      </c>
      <c r="D4" s="10">
        <v>1999</v>
      </c>
      <c r="E4" s="11" t="s">
        <v>13</v>
      </c>
      <c r="F4" s="13" t="s">
        <v>14</v>
      </c>
    </row>
    <row r="5" spans="1:6" ht="16" x14ac:dyDescent="0.2">
      <c r="A5" s="9">
        <v>4</v>
      </c>
      <c r="B5" s="10" t="str">
        <f>"04507"</f>
        <v>04507</v>
      </c>
      <c r="C5" s="11" t="s">
        <v>15</v>
      </c>
      <c r="D5" s="10">
        <v>2004</v>
      </c>
      <c r="E5" s="11" t="s">
        <v>16</v>
      </c>
      <c r="F5" s="13" t="s">
        <v>17</v>
      </c>
    </row>
    <row r="6" spans="1:6" ht="16" x14ac:dyDescent="0.2">
      <c r="A6" s="9">
        <v>5</v>
      </c>
      <c r="B6" s="10" t="str">
        <f>"04522"</f>
        <v>04522</v>
      </c>
      <c r="C6" s="11" t="s">
        <v>18</v>
      </c>
      <c r="D6" s="10">
        <v>2004</v>
      </c>
      <c r="E6" s="11" t="s">
        <v>19</v>
      </c>
      <c r="F6" s="13" t="s">
        <v>20</v>
      </c>
    </row>
    <row r="7" spans="1:6" ht="16" x14ac:dyDescent="0.2">
      <c r="A7" s="9">
        <v>6</v>
      </c>
      <c r="B7" s="10" t="str">
        <f>"04548"</f>
        <v>04548</v>
      </c>
      <c r="C7" s="11" t="s">
        <v>21</v>
      </c>
      <c r="D7" s="10">
        <v>2004</v>
      </c>
      <c r="E7" s="11" t="s">
        <v>22</v>
      </c>
      <c r="F7" s="13" t="s">
        <v>23</v>
      </c>
    </row>
    <row r="8" spans="1:6" ht="16" x14ac:dyDescent="0.2">
      <c r="A8" s="9">
        <v>7</v>
      </c>
      <c r="B8" s="10" t="str">
        <f>"04515"</f>
        <v>04515</v>
      </c>
      <c r="C8" s="11" t="s">
        <v>24</v>
      </c>
      <c r="D8" s="10">
        <v>2004</v>
      </c>
      <c r="E8" s="11" t="s">
        <v>19</v>
      </c>
      <c r="F8" s="13" t="s">
        <v>25</v>
      </c>
    </row>
    <row r="9" spans="1:6" ht="16" x14ac:dyDescent="0.2">
      <c r="A9" s="9">
        <v>8</v>
      </c>
      <c r="B9" s="10" t="str">
        <f>"03536"</f>
        <v>03536</v>
      </c>
      <c r="C9" s="11" t="s">
        <v>26</v>
      </c>
      <c r="D9" s="10">
        <v>2003</v>
      </c>
      <c r="E9" s="11" t="s">
        <v>19</v>
      </c>
      <c r="F9" s="13" t="s">
        <v>27</v>
      </c>
    </row>
    <row r="10" spans="1:6" ht="16" x14ac:dyDescent="0.2">
      <c r="A10" s="9">
        <v>9</v>
      </c>
      <c r="B10" s="10" t="str">
        <f>"03507"</f>
        <v>03507</v>
      </c>
      <c r="C10" s="11" t="s">
        <v>28</v>
      </c>
      <c r="D10" s="10">
        <v>2003</v>
      </c>
      <c r="E10" s="11" t="s">
        <v>7</v>
      </c>
      <c r="F10" s="13" t="s">
        <v>29</v>
      </c>
    </row>
    <row r="11" spans="1:6" ht="16" x14ac:dyDescent="0.2">
      <c r="A11" s="9">
        <v>10</v>
      </c>
      <c r="B11" s="10" t="str">
        <f>"04517"</f>
        <v>04517</v>
      </c>
      <c r="C11" s="11" t="s">
        <v>30</v>
      </c>
      <c r="D11" s="10">
        <v>2004</v>
      </c>
      <c r="E11" s="11" t="s">
        <v>31</v>
      </c>
      <c r="F11" s="13" t="s">
        <v>32</v>
      </c>
    </row>
    <row r="12" spans="1:6" ht="16" x14ac:dyDescent="0.2">
      <c r="A12" s="9">
        <v>11</v>
      </c>
      <c r="B12" s="10" t="str">
        <f>"00528"</f>
        <v>00528</v>
      </c>
      <c r="C12" s="11" t="s">
        <v>33</v>
      </c>
      <c r="D12" s="10">
        <v>2000</v>
      </c>
      <c r="E12" s="11" t="s">
        <v>34</v>
      </c>
      <c r="F12" s="13" t="s">
        <v>35</v>
      </c>
    </row>
    <row r="13" spans="1:6" ht="16" x14ac:dyDescent="0.2">
      <c r="A13" s="9">
        <v>12</v>
      </c>
      <c r="B13" s="10" t="str">
        <f>"97539"</f>
        <v>97539</v>
      </c>
      <c r="C13" s="11" t="s">
        <v>36</v>
      </c>
      <c r="D13" s="10">
        <v>1997</v>
      </c>
      <c r="E13" s="11" t="s">
        <v>13</v>
      </c>
      <c r="F13" s="13" t="s">
        <v>37</v>
      </c>
    </row>
    <row r="14" spans="1:6" ht="16" x14ac:dyDescent="0.2">
      <c r="A14" s="9">
        <v>13</v>
      </c>
      <c r="B14" s="10" t="str">
        <f>"04549"</f>
        <v>04549</v>
      </c>
      <c r="C14" s="11" t="s">
        <v>38</v>
      </c>
      <c r="D14" s="10">
        <v>2004</v>
      </c>
      <c r="E14" s="11" t="s">
        <v>13</v>
      </c>
      <c r="F14" s="13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10F65-2825-1845-9C87-61087BB59F09}">
  <dimension ref="A1:F34"/>
  <sheetViews>
    <sheetView topLeftCell="A19" workbookViewId="0">
      <selection activeCell="D37" sqref="D37"/>
    </sheetView>
  </sheetViews>
  <sheetFormatPr baseColWidth="10" defaultColWidth="8.6640625" defaultRowHeight="15" x14ac:dyDescent="0.2"/>
  <cols>
    <col min="1" max="1" width="6.6640625" style="3" customWidth="1"/>
    <col min="2" max="2" width="8.6640625" style="4" customWidth="1"/>
    <col min="3" max="3" width="24.6640625" style="5" customWidth="1"/>
    <col min="4" max="4" width="8.6640625" style="4" customWidth="1"/>
    <col min="5" max="5" width="28.6640625" style="5" customWidth="1"/>
    <col min="6" max="6" width="8.6640625" style="14" customWidth="1"/>
    <col min="7" max="16384" width="8.6640625" style="1"/>
  </cols>
  <sheetData>
    <row r="1" spans="1:6" s="2" customFormat="1" ht="14" x14ac:dyDescent="0.15">
      <c r="A1" s="6" t="s">
        <v>0</v>
      </c>
      <c r="B1" s="7" t="s">
        <v>1</v>
      </c>
      <c r="C1" s="8" t="s">
        <v>2</v>
      </c>
      <c r="D1" s="7" t="s">
        <v>3</v>
      </c>
      <c r="E1" s="8" t="s">
        <v>4</v>
      </c>
      <c r="F1" s="12" t="s">
        <v>5</v>
      </c>
    </row>
    <row r="2" spans="1:6" ht="16" x14ac:dyDescent="0.2">
      <c r="A2" s="9">
        <v>1</v>
      </c>
      <c r="B2" s="10" t="str">
        <f>"95010"</f>
        <v>95010</v>
      </c>
      <c r="C2" s="11" t="s">
        <v>679</v>
      </c>
      <c r="D2" s="10">
        <v>1995</v>
      </c>
      <c r="E2" s="11" t="s">
        <v>79</v>
      </c>
      <c r="F2" s="13" t="s">
        <v>678</v>
      </c>
    </row>
    <row r="3" spans="1:6" ht="16" x14ac:dyDescent="0.2">
      <c r="A3" s="9">
        <v>2</v>
      </c>
      <c r="B3" s="10" t="str">
        <f>"03006"</f>
        <v>03006</v>
      </c>
      <c r="C3" s="11" t="s">
        <v>677</v>
      </c>
      <c r="D3" s="10">
        <v>2003</v>
      </c>
      <c r="E3" s="11" t="s">
        <v>34</v>
      </c>
      <c r="F3" s="13" t="s">
        <v>676</v>
      </c>
    </row>
    <row r="4" spans="1:6" ht="16" x14ac:dyDescent="0.2">
      <c r="A4" s="9">
        <v>3</v>
      </c>
      <c r="B4" s="10" t="str">
        <f>"99008"</f>
        <v>99008</v>
      </c>
      <c r="C4" s="11" t="s">
        <v>675</v>
      </c>
      <c r="D4" s="10">
        <v>1999</v>
      </c>
      <c r="E4" s="11" t="s">
        <v>13</v>
      </c>
      <c r="F4" s="13" t="s">
        <v>674</v>
      </c>
    </row>
    <row r="5" spans="1:6" ht="16" x14ac:dyDescent="0.2">
      <c r="A5" s="9">
        <v>4</v>
      </c>
      <c r="B5" s="10" t="str">
        <f>"97020"</f>
        <v>97020</v>
      </c>
      <c r="C5" s="11" t="s">
        <v>673</v>
      </c>
      <c r="D5" s="10">
        <v>1997</v>
      </c>
      <c r="E5" s="11" t="s">
        <v>10</v>
      </c>
      <c r="F5" s="13" t="s">
        <v>672</v>
      </c>
    </row>
    <row r="6" spans="1:6" ht="16" x14ac:dyDescent="0.2">
      <c r="A6" s="9">
        <v>5</v>
      </c>
      <c r="B6" s="10" t="str">
        <f>"93031"</f>
        <v>93031</v>
      </c>
      <c r="C6" s="11" t="s">
        <v>671</v>
      </c>
      <c r="D6" s="10">
        <v>1993</v>
      </c>
      <c r="E6" s="11" t="s">
        <v>22</v>
      </c>
      <c r="F6" s="13" t="s">
        <v>670</v>
      </c>
    </row>
    <row r="7" spans="1:6" ht="16" x14ac:dyDescent="0.2">
      <c r="A7" s="9">
        <v>6</v>
      </c>
      <c r="B7" s="10" t="str">
        <f>"02002"</f>
        <v>02002</v>
      </c>
      <c r="C7" s="11" t="s">
        <v>669</v>
      </c>
      <c r="D7" s="10">
        <v>2002</v>
      </c>
      <c r="E7" s="11" t="s">
        <v>393</v>
      </c>
      <c r="F7" s="13" t="s">
        <v>668</v>
      </c>
    </row>
    <row r="8" spans="1:6" ht="16" x14ac:dyDescent="0.2">
      <c r="A8" s="9">
        <v>7</v>
      </c>
      <c r="B8" s="10" t="str">
        <f>"03021"</f>
        <v>03021</v>
      </c>
      <c r="C8" s="11" t="s">
        <v>667</v>
      </c>
      <c r="D8" s="10">
        <v>2003</v>
      </c>
      <c r="E8" s="11" t="s">
        <v>19</v>
      </c>
      <c r="F8" s="13" t="s">
        <v>666</v>
      </c>
    </row>
    <row r="9" spans="1:6" ht="16" x14ac:dyDescent="0.2">
      <c r="A9" s="9">
        <v>8</v>
      </c>
      <c r="B9" s="10" t="str">
        <f>"02049"</f>
        <v>02049</v>
      </c>
      <c r="C9" s="11" t="s">
        <v>665</v>
      </c>
      <c r="D9" s="10">
        <v>2002</v>
      </c>
      <c r="E9" s="11" t="s">
        <v>19</v>
      </c>
      <c r="F9" s="13" t="s">
        <v>664</v>
      </c>
    </row>
    <row r="10" spans="1:6" ht="16" x14ac:dyDescent="0.2">
      <c r="A10" s="9">
        <v>9</v>
      </c>
      <c r="B10" s="10" t="str">
        <f>"03045"</f>
        <v>03045</v>
      </c>
      <c r="C10" s="11" t="s">
        <v>663</v>
      </c>
      <c r="D10" s="10">
        <v>2003</v>
      </c>
      <c r="E10" s="11" t="s">
        <v>22</v>
      </c>
      <c r="F10" s="13" t="s">
        <v>662</v>
      </c>
    </row>
    <row r="11" spans="1:6" ht="16" x14ac:dyDescent="0.2">
      <c r="A11" s="9">
        <v>10</v>
      </c>
      <c r="B11" s="10" t="str">
        <f>"03051"</f>
        <v>03051</v>
      </c>
      <c r="C11" s="11" t="s">
        <v>661</v>
      </c>
      <c r="D11" s="10">
        <v>2003</v>
      </c>
      <c r="E11" s="11" t="s">
        <v>22</v>
      </c>
      <c r="F11" s="13" t="s">
        <v>660</v>
      </c>
    </row>
    <row r="12" spans="1:6" ht="16" x14ac:dyDescent="0.2">
      <c r="A12" s="9">
        <v>11</v>
      </c>
      <c r="B12" s="10" t="str">
        <f>"89001"</f>
        <v>89001</v>
      </c>
      <c r="C12" s="11" t="s">
        <v>659</v>
      </c>
      <c r="D12" s="10">
        <v>1989</v>
      </c>
      <c r="E12" s="11" t="s">
        <v>10</v>
      </c>
      <c r="F12" s="13" t="s">
        <v>658</v>
      </c>
    </row>
    <row r="13" spans="1:6" ht="16" x14ac:dyDescent="0.2">
      <c r="A13" s="9">
        <v>12</v>
      </c>
      <c r="B13" s="10" t="str">
        <f>"00004"</f>
        <v>00004</v>
      </c>
      <c r="C13" s="11" t="s">
        <v>657</v>
      </c>
      <c r="D13" s="10">
        <v>2000</v>
      </c>
      <c r="E13" s="11" t="s">
        <v>393</v>
      </c>
      <c r="F13" s="13" t="s">
        <v>656</v>
      </c>
    </row>
    <row r="14" spans="1:6" ht="16" x14ac:dyDescent="0.2">
      <c r="A14" s="9">
        <v>13</v>
      </c>
      <c r="B14" s="10" t="str">
        <f>"95049"</f>
        <v>95049</v>
      </c>
      <c r="C14" s="11" t="s">
        <v>655</v>
      </c>
      <c r="D14" s="10">
        <v>1995</v>
      </c>
      <c r="E14" s="11" t="s">
        <v>13</v>
      </c>
      <c r="F14" s="13" t="s">
        <v>654</v>
      </c>
    </row>
    <row r="15" spans="1:6" ht="16" x14ac:dyDescent="0.2">
      <c r="A15" s="9">
        <v>14</v>
      </c>
      <c r="B15" s="10" t="str">
        <f>"02026"</f>
        <v>02026</v>
      </c>
      <c r="C15" s="11" t="s">
        <v>653</v>
      </c>
      <c r="D15" s="10">
        <v>2002</v>
      </c>
      <c r="E15" s="11" t="s">
        <v>10</v>
      </c>
      <c r="F15" s="13" t="s">
        <v>652</v>
      </c>
    </row>
    <row r="16" spans="1:6" ht="16" x14ac:dyDescent="0.2">
      <c r="A16" s="9">
        <v>15</v>
      </c>
      <c r="B16" s="10" t="str">
        <f>"99033"</f>
        <v>99033</v>
      </c>
      <c r="C16" s="11" t="s">
        <v>651</v>
      </c>
      <c r="D16" s="10">
        <v>1999</v>
      </c>
      <c r="E16" s="11" t="s">
        <v>650</v>
      </c>
      <c r="F16" s="13" t="s">
        <v>649</v>
      </c>
    </row>
    <row r="17" spans="1:6" ht="16" x14ac:dyDescent="0.2">
      <c r="A17" s="9">
        <v>16</v>
      </c>
      <c r="B17" s="10" t="str">
        <f>"86004"</f>
        <v>86004</v>
      </c>
      <c r="C17" s="11" t="s">
        <v>648</v>
      </c>
      <c r="D17" s="10">
        <v>1986</v>
      </c>
      <c r="E17" s="11" t="s">
        <v>51</v>
      </c>
      <c r="F17" s="13" t="s">
        <v>647</v>
      </c>
    </row>
    <row r="18" spans="1:6" ht="16" x14ac:dyDescent="0.2">
      <c r="A18" s="9">
        <v>17</v>
      </c>
      <c r="B18" s="10" t="str">
        <f>"02056"</f>
        <v>02056</v>
      </c>
      <c r="C18" s="11" t="s">
        <v>646</v>
      </c>
      <c r="D18" s="10">
        <v>2002</v>
      </c>
      <c r="E18" s="11" t="s">
        <v>393</v>
      </c>
      <c r="F18" s="13" t="s">
        <v>645</v>
      </c>
    </row>
    <row r="19" spans="1:6" ht="16" x14ac:dyDescent="0.2">
      <c r="A19" s="9">
        <v>18</v>
      </c>
      <c r="B19" s="10" t="str">
        <f>"04039"</f>
        <v>04039</v>
      </c>
      <c r="C19" s="11" t="s">
        <v>644</v>
      </c>
      <c r="D19" s="10">
        <v>2004</v>
      </c>
      <c r="E19" s="11" t="s">
        <v>31</v>
      </c>
      <c r="F19" s="13" t="s">
        <v>643</v>
      </c>
    </row>
    <row r="20" spans="1:6" ht="16" x14ac:dyDescent="0.2">
      <c r="A20" s="9">
        <v>19</v>
      </c>
      <c r="B20" s="10" t="str">
        <f>"64002"</f>
        <v>64002</v>
      </c>
      <c r="C20" s="11" t="s">
        <v>642</v>
      </c>
      <c r="D20" s="10">
        <v>1964</v>
      </c>
      <c r="E20" s="11" t="s">
        <v>13</v>
      </c>
      <c r="F20" s="13" t="s">
        <v>641</v>
      </c>
    </row>
    <row r="21" spans="1:6" ht="16" x14ac:dyDescent="0.2">
      <c r="A21" s="9">
        <v>20</v>
      </c>
      <c r="B21" s="10" t="str">
        <f>"02055"</f>
        <v>02055</v>
      </c>
      <c r="C21" s="11" t="s">
        <v>640</v>
      </c>
      <c r="D21" s="10">
        <v>2002</v>
      </c>
      <c r="E21" s="11" t="s">
        <v>393</v>
      </c>
      <c r="F21" s="13" t="s">
        <v>639</v>
      </c>
    </row>
    <row r="22" spans="1:6" ht="16" x14ac:dyDescent="0.2">
      <c r="A22" s="9">
        <v>21</v>
      </c>
      <c r="B22" s="10" t="str">
        <f>"85012"</f>
        <v>85012</v>
      </c>
      <c r="C22" s="11" t="s">
        <v>638</v>
      </c>
      <c r="D22" s="10">
        <v>1985</v>
      </c>
      <c r="E22" s="11" t="s">
        <v>393</v>
      </c>
      <c r="F22" s="13" t="s">
        <v>637</v>
      </c>
    </row>
    <row r="23" spans="1:6" ht="16" x14ac:dyDescent="0.2">
      <c r="A23" s="9">
        <v>22</v>
      </c>
      <c r="B23" s="10" t="str">
        <f>"01006"</f>
        <v>01006</v>
      </c>
      <c r="C23" s="11" t="s">
        <v>636</v>
      </c>
      <c r="D23" s="10">
        <v>2001</v>
      </c>
      <c r="E23" s="11" t="s">
        <v>393</v>
      </c>
      <c r="F23" s="13" t="s">
        <v>635</v>
      </c>
    </row>
    <row r="24" spans="1:6" ht="16" x14ac:dyDescent="0.2">
      <c r="A24" s="9">
        <v>23</v>
      </c>
      <c r="B24" s="10" t="str">
        <f>"96052"</f>
        <v>96052</v>
      </c>
      <c r="C24" s="11" t="s">
        <v>634</v>
      </c>
      <c r="D24" s="10">
        <v>1996</v>
      </c>
      <c r="E24" s="11" t="s">
        <v>19</v>
      </c>
      <c r="F24" s="13" t="s">
        <v>633</v>
      </c>
    </row>
    <row r="25" spans="1:6" ht="16" x14ac:dyDescent="0.2">
      <c r="A25" s="9">
        <v>24</v>
      </c>
      <c r="B25" s="10" t="str">
        <f>"93004"</f>
        <v>93004</v>
      </c>
      <c r="C25" s="11" t="s">
        <v>632</v>
      </c>
      <c r="D25" s="10">
        <v>1993</v>
      </c>
      <c r="E25" s="11" t="s">
        <v>19</v>
      </c>
      <c r="F25" s="13" t="s">
        <v>631</v>
      </c>
    </row>
    <row r="26" spans="1:6" ht="16" x14ac:dyDescent="0.2">
      <c r="A26" s="9">
        <v>25</v>
      </c>
      <c r="B26" s="10" t="str">
        <f>"02042"</f>
        <v>02042</v>
      </c>
      <c r="C26" s="11" t="s">
        <v>630</v>
      </c>
      <c r="D26" s="10">
        <v>2002</v>
      </c>
      <c r="E26" s="11" t="s">
        <v>19</v>
      </c>
      <c r="F26" s="13" t="s">
        <v>629</v>
      </c>
    </row>
    <row r="27" spans="1:6" ht="16" x14ac:dyDescent="0.2">
      <c r="A27" s="9">
        <v>26</v>
      </c>
      <c r="B27" s="10" t="str">
        <f>"61003"</f>
        <v>61003</v>
      </c>
      <c r="C27" s="11" t="s">
        <v>628</v>
      </c>
      <c r="D27" s="10">
        <v>1961</v>
      </c>
      <c r="E27" s="11" t="s">
        <v>393</v>
      </c>
      <c r="F27" s="13" t="s">
        <v>627</v>
      </c>
    </row>
    <row r="28" spans="1:6" ht="16" x14ac:dyDescent="0.2">
      <c r="A28" s="9">
        <v>27</v>
      </c>
      <c r="B28" s="10" t="str">
        <f>"84008"</f>
        <v>84008</v>
      </c>
      <c r="C28" s="11" t="s">
        <v>626</v>
      </c>
      <c r="D28" s="10">
        <v>1984</v>
      </c>
      <c r="E28" s="11" t="s">
        <v>13</v>
      </c>
      <c r="F28" s="13" t="s">
        <v>625</v>
      </c>
    </row>
    <row r="29" spans="1:6" ht="16" x14ac:dyDescent="0.2">
      <c r="A29" s="9">
        <v>28</v>
      </c>
      <c r="B29" s="10" t="str">
        <f>"67002"</f>
        <v>67002</v>
      </c>
      <c r="C29" s="11" t="s">
        <v>624</v>
      </c>
      <c r="D29" s="10">
        <v>1967</v>
      </c>
      <c r="E29" s="11" t="s">
        <v>7</v>
      </c>
      <c r="F29" s="13" t="s">
        <v>623</v>
      </c>
    </row>
    <row r="30" spans="1:6" ht="16" x14ac:dyDescent="0.2">
      <c r="A30" s="9">
        <v>29</v>
      </c>
      <c r="B30" s="10" t="str">
        <f>"92021"</f>
        <v>92021</v>
      </c>
      <c r="C30" s="11" t="s">
        <v>622</v>
      </c>
      <c r="D30" s="10">
        <v>1992</v>
      </c>
      <c r="E30" s="11" t="s">
        <v>393</v>
      </c>
      <c r="F30" s="13" t="s">
        <v>621</v>
      </c>
    </row>
    <row r="31" spans="1:6" ht="16" x14ac:dyDescent="0.2">
      <c r="A31" s="9">
        <v>30</v>
      </c>
      <c r="B31" s="10" t="str">
        <f>"04043"</f>
        <v>04043</v>
      </c>
      <c r="C31" s="15" t="s">
        <v>620</v>
      </c>
      <c r="D31" s="10">
        <v>2004</v>
      </c>
      <c r="E31" s="11" t="s">
        <v>31</v>
      </c>
      <c r="F31" s="13" t="s">
        <v>619</v>
      </c>
    </row>
    <row r="32" spans="1:6" ht="16" x14ac:dyDescent="0.2">
      <c r="A32" s="9">
        <v>31</v>
      </c>
      <c r="B32" s="10" t="str">
        <f>"04056"</f>
        <v>04056</v>
      </c>
      <c r="C32" s="11" t="s">
        <v>618</v>
      </c>
      <c r="D32" s="10">
        <v>2004</v>
      </c>
      <c r="E32" s="11" t="s">
        <v>147</v>
      </c>
      <c r="F32" s="13" t="s">
        <v>617</v>
      </c>
    </row>
    <row r="33" spans="1:6" ht="16" x14ac:dyDescent="0.2">
      <c r="A33" s="9">
        <v>32</v>
      </c>
      <c r="B33" s="10" t="str">
        <f>"04054"</f>
        <v>04054</v>
      </c>
      <c r="C33" s="11" t="s">
        <v>616</v>
      </c>
      <c r="D33" s="10">
        <v>2004</v>
      </c>
      <c r="E33" s="11" t="s">
        <v>7</v>
      </c>
      <c r="F33" s="13" t="s">
        <v>615</v>
      </c>
    </row>
    <row r="34" spans="1:6" ht="16" x14ac:dyDescent="0.2">
      <c r="A34" s="9">
        <v>33</v>
      </c>
      <c r="B34" s="10" t="str">
        <f>"02059"</f>
        <v>02059</v>
      </c>
      <c r="C34" s="11" t="s">
        <v>614</v>
      </c>
      <c r="D34" s="10">
        <v>2002</v>
      </c>
      <c r="E34" s="11" t="s">
        <v>79</v>
      </c>
      <c r="F34" s="13" t="s">
        <v>613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C7A95-5F2E-9C44-A7DE-AF3D73A6154B}">
  <dimension ref="A1:F6"/>
  <sheetViews>
    <sheetView workbookViewId="0"/>
  </sheetViews>
  <sheetFormatPr baseColWidth="10" defaultColWidth="8.6640625" defaultRowHeight="15" x14ac:dyDescent="0.2"/>
  <cols>
    <col min="1" max="1" width="6.6640625" style="3" customWidth="1"/>
    <col min="2" max="2" width="8.6640625" style="4" customWidth="1"/>
    <col min="3" max="3" width="24.6640625" style="5" customWidth="1"/>
    <col min="4" max="4" width="8.6640625" style="4" customWidth="1"/>
    <col min="5" max="5" width="28.6640625" style="5" customWidth="1"/>
    <col min="6" max="6" width="8.6640625" style="14" customWidth="1"/>
    <col min="7" max="16384" width="8.6640625" style="1"/>
  </cols>
  <sheetData>
    <row r="1" spans="1:6" s="2" customFormat="1" ht="14" x14ac:dyDescent="0.15">
      <c r="A1" s="6" t="s">
        <v>0</v>
      </c>
      <c r="B1" s="7" t="s">
        <v>1</v>
      </c>
      <c r="C1" s="8" t="s">
        <v>2</v>
      </c>
      <c r="D1" s="7" t="s">
        <v>3</v>
      </c>
      <c r="E1" s="8" t="s">
        <v>4</v>
      </c>
      <c r="F1" s="12" t="s">
        <v>5</v>
      </c>
    </row>
    <row r="2" spans="1:6" ht="16" x14ac:dyDescent="0.2">
      <c r="A2" s="9">
        <v>1</v>
      </c>
      <c r="B2" s="10" t="str">
        <f>"06521"</f>
        <v>06521</v>
      </c>
      <c r="C2" s="11" t="s">
        <v>612</v>
      </c>
      <c r="D2" s="10">
        <v>2006</v>
      </c>
      <c r="E2" s="11" t="s">
        <v>13</v>
      </c>
      <c r="F2" s="13" t="s">
        <v>611</v>
      </c>
    </row>
    <row r="3" spans="1:6" ht="16" x14ac:dyDescent="0.2">
      <c r="A3" s="9">
        <v>2</v>
      </c>
      <c r="B3" s="10" t="str">
        <f>"06526"</f>
        <v>06526</v>
      </c>
      <c r="C3" s="11" t="s">
        <v>610</v>
      </c>
      <c r="D3" s="10">
        <v>2006</v>
      </c>
      <c r="E3" s="11" t="s">
        <v>113</v>
      </c>
      <c r="F3" s="13" t="s">
        <v>609</v>
      </c>
    </row>
    <row r="4" spans="1:6" ht="16" x14ac:dyDescent="0.2">
      <c r="A4" s="9">
        <v>3</v>
      </c>
      <c r="B4" s="10" t="str">
        <f>"05551"</f>
        <v>05551</v>
      </c>
      <c r="C4" s="11" t="s">
        <v>608</v>
      </c>
      <c r="D4" s="10">
        <v>2005</v>
      </c>
      <c r="E4" s="11" t="s">
        <v>7</v>
      </c>
      <c r="F4" s="13" t="s">
        <v>607</v>
      </c>
    </row>
    <row r="5" spans="1:6" ht="16" x14ac:dyDescent="0.2">
      <c r="A5" s="9">
        <v>4</v>
      </c>
      <c r="B5" s="10" t="str">
        <f>"06525"</f>
        <v>06525</v>
      </c>
      <c r="C5" s="11" t="s">
        <v>606</v>
      </c>
      <c r="D5" s="10">
        <v>2006</v>
      </c>
      <c r="E5" s="11" t="s">
        <v>7</v>
      </c>
      <c r="F5" s="13" t="s">
        <v>605</v>
      </c>
    </row>
    <row r="6" spans="1:6" ht="16" x14ac:dyDescent="0.2">
      <c r="A6" s="9">
        <v>5</v>
      </c>
      <c r="B6" s="10" t="str">
        <f>"06514"</f>
        <v>06514</v>
      </c>
      <c r="C6" s="11" t="s">
        <v>604</v>
      </c>
      <c r="D6" s="10">
        <v>2006</v>
      </c>
      <c r="E6" s="11" t="s">
        <v>10</v>
      </c>
      <c r="F6" s="13" t="s">
        <v>603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0CBF5-5486-C943-AF2F-32A333C91946}">
  <dimension ref="A1:F11"/>
  <sheetViews>
    <sheetView workbookViewId="0">
      <selection activeCell="C2" sqref="C2"/>
    </sheetView>
  </sheetViews>
  <sheetFormatPr baseColWidth="10" defaultColWidth="8.6640625" defaultRowHeight="15" x14ac:dyDescent="0.2"/>
  <cols>
    <col min="1" max="1" width="6.6640625" style="3" customWidth="1"/>
    <col min="2" max="2" width="8.6640625" style="4" customWidth="1"/>
    <col min="3" max="3" width="24.6640625" style="5" customWidth="1"/>
    <col min="4" max="4" width="8.6640625" style="4" customWidth="1"/>
    <col min="5" max="5" width="28.6640625" style="5" customWidth="1"/>
    <col min="6" max="6" width="8.6640625" style="14" customWidth="1"/>
    <col min="7" max="16384" width="8.6640625" style="1"/>
  </cols>
  <sheetData>
    <row r="1" spans="1:6" s="2" customFormat="1" ht="14" x14ac:dyDescent="0.15">
      <c r="A1" s="6" t="s">
        <v>0</v>
      </c>
      <c r="B1" s="7" t="s">
        <v>1</v>
      </c>
      <c r="C1" s="8" t="s">
        <v>2</v>
      </c>
      <c r="D1" s="7" t="s">
        <v>3</v>
      </c>
      <c r="E1" s="8" t="s">
        <v>4</v>
      </c>
      <c r="F1" s="12" t="s">
        <v>5</v>
      </c>
    </row>
    <row r="2" spans="1:6" ht="16" x14ac:dyDescent="0.2">
      <c r="A2" s="9">
        <v>1</v>
      </c>
      <c r="B2" s="10" t="str">
        <f>"06026"</f>
        <v>06026</v>
      </c>
      <c r="C2" s="15" t="s">
        <v>602</v>
      </c>
      <c r="D2" s="10">
        <v>2006</v>
      </c>
      <c r="E2" s="11" t="s">
        <v>147</v>
      </c>
      <c r="F2" s="13" t="s">
        <v>601</v>
      </c>
    </row>
    <row r="3" spans="1:6" ht="16" x14ac:dyDescent="0.2">
      <c r="A3" s="9">
        <v>2</v>
      </c>
      <c r="B3" s="10" t="str">
        <f>"05012"</f>
        <v>05012</v>
      </c>
      <c r="C3" s="11" t="s">
        <v>600</v>
      </c>
      <c r="D3" s="10">
        <v>2005</v>
      </c>
      <c r="E3" s="11" t="s">
        <v>13</v>
      </c>
      <c r="F3" s="13" t="s">
        <v>599</v>
      </c>
    </row>
    <row r="4" spans="1:6" ht="16" x14ac:dyDescent="0.2">
      <c r="A4" s="9">
        <v>3</v>
      </c>
      <c r="B4" s="10" t="str">
        <f>"06027"</f>
        <v>06027</v>
      </c>
      <c r="C4" s="11" t="s">
        <v>598</v>
      </c>
      <c r="D4" s="10">
        <v>2006</v>
      </c>
      <c r="E4" s="11" t="s">
        <v>22</v>
      </c>
      <c r="F4" s="13" t="s">
        <v>597</v>
      </c>
    </row>
    <row r="5" spans="1:6" ht="16" x14ac:dyDescent="0.2">
      <c r="A5" s="9">
        <v>4</v>
      </c>
      <c r="B5" s="10" t="str">
        <f>"06007"</f>
        <v>06007</v>
      </c>
      <c r="C5" s="11" t="s">
        <v>596</v>
      </c>
      <c r="D5" s="10">
        <v>2006</v>
      </c>
      <c r="E5" s="11" t="s">
        <v>7</v>
      </c>
      <c r="F5" s="13" t="s">
        <v>595</v>
      </c>
    </row>
    <row r="6" spans="1:6" ht="16" x14ac:dyDescent="0.2">
      <c r="A6" s="9">
        <v>5</v>
      </c>
      <c r="B6" s="10" t="str">
        <f>"06024"</f>
        <v>06024</v>
      </c>
      <c r="C6" s="11" t="s">
        <v>594</v>
      </c>
      <c r="D6" s="10">
        <v>2006</v>
      </c>
      <c r="E6" s="11" t="s">
        <v>79</v>
      </c>
      <c r="F6" s="13" t="s">
        <v>593</v>
      </c>
    </row>
    <row r="7" spans="1:6" ht="16" x14ac:dyDescent="0.2">
      <c r="A7" s="9">
        <v>6</v>
      </c>
      <c r="B7" s="10" t="str">
        <f>"06023"</f>
        <v>06023</v>
      </c>
      <c r="C7" s="11" t="s">
        <v>592</v>
      </c>
      <c r="D7" s="10">
        <v>2006</v>
      </c>
      <c r="E7" s="11" t="s">
        <v>16</v>
      </c>
      <c r="F7" s="13" t="s">
        <v>591</v>
      </c>
    </row>
    <row r="8" spans="1:6" ht="16" x14ac:dyDescent="0.2">
      <c r="A8" s="9">
        <v>7</v>
      </c>
      <c r="B8" s="10" t="str">
        <f>"06028"</f>
        <v>06028</v>
      </c>
      <c r="C8" s="11" t="s">
        <v>590</v>
      </c>
      <c r="D8" s="10">
        <v>2006</v>
      </c>
      <c r="E8" s="11" t="s">
        <v>19</v>
      </c>
      <c r="F8" s="13" t="s">
        <v>589</v>
      </c>
    </row>
    <row r="9" spans="1:6" ht="16" x14ac:dyDescent="0.2">
      <c r="A9" s="9">
        <v>8</v>
      </c>
      <c r="B9" s="10" t="str">
        <f>"06020"</f>
        <v>06020</v>
      </c>
      <c r="C9" s="11" t="s">
        <v>588</v>
      </c>
      <c r="D9" s="10">
        <v>2006</v>
      </c>
      <c r="E9" s="11" t="s">
        <v>7</v>
      </c>
      <c r="F9" s="13" t="s">
        <v>587</v>
      </c>
    </row>
    <row r="10" spans="1:6" ht="16" x14ac:dyDescent="0.2">
      <c r="A10" s="9">
        <v>9</v>
      </c>
      <c r="B10" s="10" t="str">
        <f>"06021"</f>
        <v>06021</v>
      </c>
      <c r="C10" s="11" t="s">
        <v>586</v>
      </c>
      <c r="D10" s="10">
        <v>2006</v>
      </c>
      <c r="E10" s="11" t="s">
        <v>7</v>
      </c>
      <c r="F10" s="13" t="s">
        <v>585</v>
      </c>
    </row>
    <row r="11" spans="1:6" ht="16" x14ac:dyDescent="0.2">
      <c r="A11" s="9">
        <v>10</v>
      </c>
      <c r="B11" s="10" t="str">
        <f>"06029"</f>
        <v>06029</v>
      </c>
      <c r="C11" s="11" t="s">
        <v>584</v>
      </c>
      <c r="D11" s="10">
        <v>2006</v>
      </c>
      <c r="E11" s="11" t="s">
        <v>22</v>
      </c>
      <c r="F11" s="13" t="s">
        <v>583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AEE35-1233-E24E-A54D-AE7BA5B9DCCB}">
  <dimension ref="A1:F46"/>
  <sheetViews>
    <sheetView topLeftCell="A31" workbookViewId="0"/>
  </sheetViews>
  <sheetFormatPr baseColWidth="10" defaultColWidth="8.6640625" defaultRowHeight="15" x14ac:dyDescent="0.2"/>
  <cols>
    <col min="1" max="1" width="6.6640625" style="3" customWidth="1"/>
    <col min="2" max="2" width="8.6640625" style="4" customWidth="1"/>
    <col min="3" max="3" width="24.6640625" style="5" customWidth="1"/>
    <col min="4" max="4" width="8.6640625" style="4" customWidth="1"/>
    <col min="5" max="5" width="28.6640625" style="5" customWidth="1"/>
    <col min="6" max="6" width="8.6640625" style="14" customWidth="1"/>
    <col min="7" max="16384" width="8.6640625" style="1"/>
  </cols>
  <sheetData>
    <row r="1" spans="1:6" s="2" customFormat="1" ht="14" x14ac:dyDescent="0.15">
      <c r="A1" s="6" t="s">
        <v>0</v>
      </c>
      <c r="B1" s="7" t="s">
        <v>1</v>
      </c>
      <c r="C1" s="8" t="s">
        <v>2</v>
      </c>
      <c r="D1" s="7" t="s">
        <v>3</v>
      </c>
      <c r="E1" s="8" t="s">
        <v>4</v>
      </c>
      <c r="F1" s="12" t="s">
        <v>5</v>
      </c>
    </row>
    <row r="2" spans="1:6" ht="16" x14ac:dyDescent="0.2">
      <c r="A2" s="9">
        <v>1</v>
      </c>
      <c r="B2" s="10" t="str">
        <f>"13518"</f>
        <v>13518</v>
      </c>
      <c r="C2" s="11" t="s">
        <v>582</v>
      </c>
      <c r="D2" s="10">
        <v>2013</v>
      </c>
      <c r="E2" s="11" t="s">
        <v>79</v>
      </c>
      <c r="F2" s="13" t="s">
        <v>581</v>
      </c>
    </row>
    <row r="3" spans="1:6" ht="16" x14ac:dyDescent="0.2">
      <c r="A3" s="9">
        <v>2</v>
      </c>
      <c r="B3" s="10" t="str">
        <f>"13504"</f>
        <v>13504</v>
      </c>
      <c r="C3" s="11" t="s">
        <v>580</v>
      </c>
      <c r="D3" s="10">
        <v>2013</v>
      </c>
      <c r="E3" s="11" t="s">
        <v>22</v>
      </c>
      <c r="F3" s="13" t="s">
        <v>579</v>
      </c>
    </row>
    <row r="4" spans="1:6" ht="16" x14ac:dyDescent="0.2">
      <c r="A4" s="9">
        <v>3</v>
      </c>
      <c r="B4" s="10" t="str">
        <f>"13517"</f>
        <v>13517</v>
      </c>
      <c r="C4" s="11" t="s">
        <v>578</v>
      </c>
      <c r="D4" s="10">
        <v>2013</v>
      </c>
      <c r="E4" s="11" t="s">
        <v>79</v>
      </c>
      <c r="F4" s="13" t="s">
        <v>577</v>
      </c>
    </row>
    <row r="5" spans="1:6" ht="16" x14ac:dyDescent="0.2">
      <c r="A5" s="9">
        <v>4</v>
      </c>
      <c r="B5" s="10" t="str">
        <f>"13524"</f>
        <v>13524</v>
      </c>
      <c r="C5" s="11" t="s">
        <v>576</v>
      </c>
      <c r="D5" s="10">
        <v>2013</v>
      </c>
      <c r="E5" s="11" t="s">
        <v>22</v>
      </c>
      <c r="F5" s="13" t="s">
        <v>575</v>
      </c>
    </row>
    <row r="6" spans="1:6" ht="16" x14ac:dyDescent="0.2">
      <c r="A6" s="9">
        <v>5</v>
      </c>
      <c r="B6" s="10" t="str">
        <f>"14502"</f>
        <v>14502</v>
      </c>
      <c r="C6" s="11" t="s">
        <v>574</v>
      </c>
      <c r="D6" s="10">
        <v>2014</v>
      </c>
      <c r="E6" s="11" t="s">
        <v>7</v>
      </c>
      <c r="F6" s="13" t="s">
        <v>573</v>
      </c>
    </row>
    <row r="7" spans="1:6" ht="16" x14ac:dyDescent="0.2">
      <c r="A7" s="9">
        <v>6</v>
      </c>
      <c r="B7" s="10" t="str">
        <f>"13507"</f>
        <v>13507</v>
      </c>
      <c r="C7" s="11" t="s">
        <v>572</v>
      </c>
      <c r="D7" s="10">
        <v>2013</v>
      </c>
      <c r="E7" s="11" t="s">
        <v>19</v>
      </c>
      <c r="F7" s="13" t="s">
        <v>571</v>
      </c>
    </row>
    <row r="8" spans="1:6" ht="16" x14ac:dyDescent="0.2">
      <c r="A8" s="9">
        <v>7</v>
      </c>
      <c r="B8" s="10" t="str">
        <f>"13505"</f>
        <v>13505</v>
      </c>
      <c r="C8" s="11" t="s">
        <v>570</v>
      </c>
      <c r="D8" s="10">
        <v>2013</v>
      </c>
      <c r="E8" s="11" t="s">
        <v>10</v>
      </c>
      <c r="F8" s="13" t="s">
        <v>569</v>
      </c>
    </row>
    <row r="9" spans="1:6" ht="16" x14ac:dyDescent="0.2">
      <c r="A9" s="9">
        <v>8</v>
      </c>
      <c r="B9" s="10" t="str">
        <f>"13519"</f>
        <v>13519</v>
      </c>
      <c r="C9" s="11" t="s">
        <v>568</v>
      </c>
      <c r="D9" s="10">
        <v>2013</v>
      </c>
      <c r="E9" s="11" t="s">
        <v>13</v>
      </c>
      <c r="F9" s="13" t="s">
        <v>567</v>
      </c>
    </row>
    <row r="10" spans="1:6" ht="16" x14ac:dyDescent="0.2">
      <c r="A10" s="9">
        <v>9</v>
      </c>
      <c r="B10" s="10" t="str">
        <f>"14505"</f>
        <v>14505</v>
      </c>
      <c r="C10" s="11" t="s">
        <v>566</v>
      </c>
      <c r="D10" s="10">
        <v>2014</v>
      </c>
      <c r="E10" s="11" t="s">
        <v>7</v>
      </c>
      <c r="F10" s="13" t="s">
        <v>565</v>
      </c>
    </row>
    <row r="11" spans="1:6" ht="16" x14ac:dyDescent="0.2">
      <c r="A11" s="9">
        <v>10</v>
      </c>
      <c r="B11" s="10" t="str">
        <f>"14508"</f>
        <v>14508</v>
      </c>
      <c r="C11" s="11" t="s">
        <v>564</v>
      </c>
      <c r="D11" s="10">
        <v>2014</v>
      </c>
      <c r="E11" s="11" t="s">
        <v>22</v>
      </c>
      <c r="F11" s="13" t="s">
        <v>563</v>
      </c>
    </row>
    <row r="12" spans="1:6" ht="16" x14ac:dyDescent="0.2">
      <c r="A12" s="9">
        <v>11</v>
      </c>
      <c r="B12" s="10" t="str">
        <f>"14513"</f>
        <v>14513</v>
      </c>
      <c r="C12" s="11" t="s">
        <v>562</v>
      </c>
      <c r="D12" s="10">
        <v>2014</v>
      </c>
      <c r="E12" s="11" t="s">
        <v>22</v>
      </c>
      <c r="F12" s="13" t="s">
        <v>561</v>
      </c>
    </row>
    <row r="13" spans="1:6" ht="16" x14ac:dyDescent="0.2">
      <c r="A13" s="9">
        <v>12</v>
      </c>
      <c r="B13" s="10" t="str">
        <f>"13528"</f>
        <v>13528</v>
      </c>
      <c r="C13" s="11" t="s">
        <v>560</v>
      </c>
      <c r="D13" s="10">
        <v>2013</v>
      </c>
      <c r="E13" s="11" t="s">
        <v>110</v>
      </c>
      <c r="F13" s="13" t="s">
        <v>559</v>
      </c>
    </row>
    <row r="14" spans="1:6" ht="16" x14ac:dyDescent="0.2">
      <c r="A14" s="9">
        <v>13</v>
      </c>
      <c r="B14" s="10" t="str">
        <f>"14514"</f>
        <v>14514</v>
      </c>
      <c r="C14" s="11" t="s">
        <v>558</v>
      </c>
      <c r="D14" s="10">
        <v>2014</v>
      </c>
      <c r="E14" s="11" t="s">
        <v>19</v>
      </c>
      <c r="F14" s="13" t="s">
        <v>557</v>
      </c>
    </row>
    <row r="15" spans="1:6" ht="16" x14ac:dyDescent="0.2">
      <c r="A15" s="9">
        <v>14</v>
      </c>
      <c r="B15" s="10" t="str">
        <f>"13516"</f>
        <v>13516</v>
      </c>
      <c r="C15" s="11" t="s">
        <v>556</v>
      </c>
      <c r="D15" s="10">
        <v>2013</v>
      </c>
      <c r="E15" s="11" t="s">
        <v>22</v>
      </c>
      <c r="F15" s="13" t="s">
        <v>555</v>
      </c>
    </row>
    <row r="16" spans="1:6" ht="16" x14ac:dyDescent="0.2">
      <c r="A16" s="9">
        <v>15</v>
      </c>
      <c r="B16" s="10" t="str">
        <f>"14503"</f>
        <v>14503</v>
      </c>
      <c r="C16" s="11" t="s">
        <v>554</v>
      </c>
      <c r="D16" s="10">
        <v>2014</v>
      </c>
      <c r="E16" s="11" t="s">
        <v>19</v>
      </c>
      <c r="F16" s="13" t="s">
        <v>553</v>
      </c>
    </row>
    <row r="17" spans="1:6" ht="16" x14ac:dyDescent="0.2">
      <c r="A17" s="9">
        <v>16</v>
      </c>
      <c r="B17" s="10" t="str">
        <f>"13534"</f>
        <v>13534</v>
      </c>
      <c r="C17" s="11" t="s">
        <v>552</v>
      </c>
      <c r="D17" s="10">
        <v>2013</v>
      </c>
      <c r="E17" s="11" t="s">
        <v>13</v>
      </c>
      <c r="F17" s="13" t="s">
        <v>551</v>
      </c>
    </row>
    <row r="18" spans="1:6" ht="16" x14ac:dyDescent="0.2">
      <c r="A18" s="9">
        <v>17</v>
      </c>
      <c r="B18" s="10" t="str">
        <f>"14515"</f>
        <v>14515</v>
      </c>
      <c r="C18" s="11" t="s">
        <v>550</v>
      </c>
      <c r="D18" s="10">
        <v>2014</v>
      </c>
      <c r="E18" s="11" t="s">
        <v>19</v>
      </c>
      <c r="F18" s="13" t="s">
        <v>549</v>
      </c>
    </row>
    <row r="19" spans="1:6" ht="16" x14ac:dyDescent="0.2">
      <c r="A19" s="9">
        <v>18</v>
      </c>
      <c r="B19" s="10" t="str">
        <f>"13512"</f>
        <v>13512</v>
      </c>
      <c r="C19" s="11" t="s">
        <v>548</v>
      </c>
      <c r="D19" s="10">
        <v>2013</v>
      </c>
      <c r="E19" s="11" t="s">
        <v>393</v>
      </c>
      <c r="F19" s="13" t="s">
        <v>547</v>
      </c>
    </row>
    <row r="20" spans="1:6" ht="16" x14ac:dyDescent="0.2">
      <c r="A20" s="9">
        <v>19</v>
      </c>
      <c r="B20" s="10" t="str">
        <f>"15507"</f>
        <v>15507</v>
      </c>
      <c r="C20" s="11" t="s">
        <v>546</v>
      </c>
      <c r="D20" s="10">
        <v>2015</v>
      </c>
      <c r="E20" s="11" t="s">
        <v>95</v>
      </c>
      <c r="F20" s="13" t="s">
        <v>545</v>
      </c>
    </row>
    <row r="21" spans="1:6" ht="16" x14ac:dyDescent="0.2">
      <c r="A21" s="9">
        <v>20</v>
      </c>
      <c r="B21" s="10" t="str">
        <f>"13511"</f>
        <v>13511</v>
      </c>
      <c r="C21" s="11" t="s">
        <v>544</v>
      </c>
      <c r="D21" s="10">
        <v>2013</v>
      </c>
      <c r="E21" s="11" t="s">
        <v>393</v>
      </c>
      <c r="F21" s="13" t="s">
        <v>543</v>
      </c>
    </row>
    <row r="22" spans="1:6" ht="16" x14ac:dyDescent="0.2">
      <c r="A22" s="9">
        <v>21</v>
      </c>
      <c r="B22" s="10" t="str">
        <f>"16504"</f>
        <v>16504</v>
      </c>
      <c r="C22" s="11" t="s">
        <v>542</v>
      </c>
      <c r="D22" s="10">
        <v>2016</v>
      </c>
      <c r="E22" s="11" t="s">
        <v>22</v>
      </c>
      <c r="F22" s="13" t="s">
        <v>541</v>
      </c>
    </row>
    <row r="23" spans="1:6" ht="16" x14ac:dyDescent="0.2">
      <c r="A23" s="9">
        <v>22</v>
      </c>
      <c r="B23" s="10" t="str">
        <f>"15506"</f>
        <v>15506</v>
      </c>
      <c r="C23" s="11" t="s">
        <v>540</v>
      </c>
      <c r="D23" s="10">
        <v>2015</v>
      </c>
      <c r="E23" s="11" t="s">
        <v>7</v>
      </c>
      <c r="F23" s="13" t="s">
        <v>539</v>
      </c>
    </row>
    <row r="24" spans="1:6" ht="16" x14ac:dyDescent="0.2">
      <c r="A24" s="9">
        <v>23</v>
      </c>
      <c r="B24" s="10" t="str">
        <f>"13502"</f>
        <v>13502</v>
      </c>
      <c r="C24" s="11" t="s">
        <v>538</v>
      </c>
      <c r="D24" s="10">
        <v>2013</v>
      </c>
      <c r="E24" s="11" t="s">
        <v>220</v>
      </c>
      <c r="F24" s="13" t="s">
        <v>537</v>
      </c>
    </row>
    <row r="25" spans="1:6" ht="16" x14ac:dyDescent="0.2">
      <c r="A25" s="9">
        <v>24</v>
      </c>
      <c r="B25" s="10" t="str">
        <f>"14507"</f>
        <v>14507</v>
      </c>
      <c r="C25" s="11" t="s">
        <v>536</v>
      </c>
      <c r="D25" s="10">
        <v>2014</v>
      </c>
      <c r="E25" s="11" t="s">
        <v>393</v>
      </c>
      <c r="F25" s="13" t="s">
        <v>535</v>
      </c>
    </row>
    <row r="26" spans="1:6" ht="16" x14ac:dyDescent="0.2">
      <c r="A26" s="9">
        <v>25</v>
      </c>
      <c r="B26" s="10" t="str">
        <f>"13536"</f>
        <v>13536</v>
      </c>
      <c r="C26" s="11" t="s">
        <v>534</v>
      </c>
      <c r="D26" s="10">
        <v>2013</v>
      </c>
      <c r="E26" s="11" t="s">
        <v>13</v>
      </c>
      <c r="F26" s="13" t="s">
        <v>533</v>
      </c>
    </row>
    <row r="27" spans="1:6" ht="16" x14ac:dyDescent="0.2">
      <c r="A27" s="9" t="s">
        <v>512</v>
      </c>
      <c r="B27" s="10" t="str">
        <f>"13501"</f>
        <v>13501</v>
      </c>
      <c r="C27" s="11" t="s">
        <v>532</v>
      </c>
      <c r="D27" s="10">
        <v>2013</v>
      </c>
      <c r="E27" s="11" t="s">
        <v>220</v>
      </c>
      <c r="F27" s="13" t="s">
        <v>40</v>
      </c>
    </row>
    <row r="28" spans="1:6" ht="16" x14ac:dyDescent="0.2">
      <c r="A28" s="9" t="s">
        <v>512</v>
      </c>
      <c r="B28" s="10" t="str">
        <f>"13510"</f>
        <v>13510</v>
      </c>
      <c r="C28" s="11" t="s">
        <v>531</v>
      </c>
      <c r="D28" s="10">
        <v>2013</v>
      </c>
      <c r="E28" s="11" t="s">
        <v>19</v>
      </c>
      <c r="F28" s="13" t="s">
        <v>40</v>
      </c>
    </row>
    <row r="29" spans="1:6" ht="16" x14ac:dyDescent="0.2">
      <c r="A29" s="9" t="s">
        <v>512</v>
      </c>
      <c r="B29" s="10" t="str">
        <f>"13513"</f>
        <v>13513</v>
      </c>
      <c r="C29" s="11" t="s">
        <v>530</v>
      </c>
      <c r="D29" s="10">
        <v>2013</v>
      </c>
      <c r="E29" s="11" t="s">
        <v>393</v>
      </c>
      <c r="F29" s="13" t="s">
        <v>40</v>
      </c>
    </row>
    <row r="30" spans="1:6" ht="16" x14ac:dyDescent="0.2">
      <c r="A30" s="9" t="s">
        <v>512</v>
      </c>
      <c r="B30" s="10" t="str">
        <f>"15501"</f>
        <v>15501</v>
      </c>
      <c r="C30" s="11" t="s">
        <v>529</v>
      </c>
      <c r="D30" s="10">
        <v>2015</v>
      </c>
      <c r="E30" s="11" t="s">
        <v>51</v>
      </c>
      <c r="F30" s="13" t="s">
        <v>40</v>
      </c>
    </row>
    <row r="31" spans="1:6" ht="16" x14ac:dyDescent="0.2">
      <c r="A31" s="9" t="s">
        <v>512</v>
      </c>
      <c r="B31" s="10" t="str">
        <f>"14506"</f>
        <v>14506</v>
      </c>
      <c r="C31" s="11" t="s">
        <v>528</v>
      </c>
      <c r="D31" s="10">
        <v>2014</v>
      </c>
      <c r="E31" s="11" t="s">
        <v>527</v>
      </c>
      <c r="F31" s="13" t="s">
        <v>40</v>
      </c>
    </row>
    <row r="32" spans="1:6" ht="16" x14ac:dyDescent="0.2">
      <c r="A32" s="9" t="s">
        <v>512</v>
      </c>
      <c r="B32" s="10" t="str">
        <f>"13527"</f>
        <v>13527</v>
      </c>
      <c r="C32" s="11" t="s">
        <v>526</v>
      </c>
      <c r="D32" s="10">
        <v>2013</v>
      </c>
      <c r="E32" s="11" t="s">
        <v>393</v>
      </c>
      <c r="F32" s="13" t="s">
        <v>40</v>
      </c>
    </row>
    <row r="33" spans="1:6" ht="16" x14ac:dyDescent="0.2">
      <c r="A33" s="9" t="s">
        <v>512</v>
      </c>
      <c r="B33" s="10" t="str">
        <f>"15502"</f>
        <v>15502</v>
      </c>
      <c r="C33" s="11" t="s">
        <v>525</v>
      </c>
      <c r="D33" s="10">
        <v>2015</v>
      </c>
      <c r="E33" s="11" t="s">
        <v>110</v>
      </c>
      <c r="F33" s="13" t="s">
        <v>40</v>
      </c>
    </row>
    <row r="34" spans="1:6" ht="16" x14ac:dyDescent="0.2">
      <c r="A34" s="9" t="s">
        <v>512</v>
      </c>
      <c r="B34" s="10" t="str">
        <f>"15503"</f>
        <v>15503</v>
      </c>
      <c r="C34" s="11" t="s">
        <v>524</v>
      </c>
      <c r="D34" s="10">
        <v>2015</v>
      </c>
      <c r="E34" s="11" t="s">
        <v>51</v>
      </c>
      <c r="F34" s="13" t="s">
        <v>40</v>
      </c>
    </row>
    <row r="35" spans="1:6" ht="16" x14ac:dyDescent="0.2">
      <c r="A35" s="9" t="s">
        <v>512</v>
      </c>
      <c r="B35" s="10" t="str">
        <f>"14509"</f>
        <v>14509</v>
      </c>
      <c r="C35" s="11" t="s">
        <v>523</v>
      </c>
      <c r="D35" s="10">
        <v>2014</v>
      </c>
      <c r="E35" s="11" t="s">
        <v>51</v>
      </c>
      <c r="F35" s="13" t="s">
        <v>40</v>
      </c>
    </row>
    <row r="36" spans="1:6" ht="16" x14ac:dyDescent="0.2">
      <c r="A36" s="9" t="s">
        <v>512</v>
      </c>
      <c r="B36" s="10" t="str">
        <f>"14510"</f>
        <v>14510</v>
      </c>
      <c r="C36" s="11" t="s">
        <v>522</v>
      </c>
      <c r="D36" s="10">
        <v>2014</v>
      </c>
      <c r="E36" s="11" t="s">
        <v>51</v>
      </c>
      <c r="F36" s="13" t="s">
        <v>40</v>
      </c>
    </row>
    <row r="37" spans="1:6" ht="16" x14ac:dyDescent="0.2">
      <c r="A37" s="9" t="s">
        <v>512</v>
      </c>
      <c r="B37" s="10" t="str">
        <f>"14511"</f>
        <v>14511</v>
      </c>
      <c r="C37" s="11" t="s">
        <v>521</v>
      </c>
      <c r="D37" s="10">
        <v>2014</v>
      </c>
      <c r="E37" s="11" t="s">
        <v>122</v>
      </c>
      <c r="F37" s="13" t="s">
        <v>40</v>
      </c>
    </row>
    <row r="38" spans="1:6" ht="16" x14ac:dyDescent="0.2">
      <c r="A38" s="9" t="s">
        <v>512</v>
      </c>
      <c r="B38" s="10" t="str">
        <f>"15505"</f>
        <v>15505</v>
      </c>
      <c r="C38" s="11" t="s">
        <v>520</v>
      </c>
      <c r="D38" s="10">
        <v>2015</v>
      </c>
      <c r="E38" s="11" t="s">
        <v>220</v>
      </c>
      <c r="F38" s="13" t="s">
        <v>40</v>
      </c>
    </row>
    <row r="39" spans="1:6" ht="16" x14ac:dyDescent="0.2">
      <c r="A39" s="9" t="s">
        <v>512</v>
      </c>
      <c r="B39" s="10" t="str">
        <f>"14516"</f>
        <v>14516</v>
      </c>
      <c r="C39" s="11" t="s">
        <v>519</v>
      </c>
      <c r="D39" s="10">
        <v>2014</v>
      </c>
      <c r="E39" s="11" t="s">
        <v>19</v>
      </c>
      <c r="F39" s="13" t="s">
        <v>40</v>
      </c>
    </row>
    <row r="40" spans="1:6" ht="16" x14ac:dyDescent="0.2">
      <c r="A40" s="9" t="s">
        <v>512</v>
      </c>
      <c r="B40" s="10" t="str">
        <f>"14518"</f>
        <v>14518</v>
      </c>
      <c r="C40" s="11" t="s">
        <v>518</v>
      </c>
      <c r="D40" s="10">
        <v>2014</v>
      </c>
      <c r="E40" s="11" t="s">
        <v>19</v>
      </c>
      <c r="F40" s="13" t="s">
        <v>40</v>
      </c>
    </row>
    <row r="41" spans="1:6" ht="16" x14ac:dyDescent="0.2">
      <c r="A41" s="9" t="s">
        <v>512</v>
      </c>
      <c r="B41" s="10" t="str">
        <f>"13535"</f>
        <v>13535</v>
      </c>
      <c r="C41" s="11" t="s">
        <v>517</v>
      </c>
      <c r="D41" s="10">
        <v>2013</v>
      </c>
      <c r="E41" s="11" t="s">
        <v>393</v>
      </c>
      <c r="F41" s="13" t="s">
        <v>40</v>
      </c>
    </row>
    <row r="42" spans="1:6" ht="16" x14ac:dyDescent="0.2">
      <c r="A42" s="9" t="s">
        <v>512</v>
      </c>
      <c r="B42" s="10" t="str">
        <f>"14520"</f>
        <v>14520</v>
      </c>
      <c r="C42" s="11" t="s">
        <v>516</v>
      </c>
      <c r="D42" s="10">
        <v>2014</v>
      </c>
      <c r="E42" s="11" t="s">
        <v>7</v>
      </c>
      <c r="F42" s="13" t="s">
        <v>40</v>
      </c>
    </row>
    <row r="43" spans="1:6" ht="16" x14ac:dyDescent="0.2">
      <c r="A43" s="9" t="s">
        <v>512</v>
      </c>
      <c r="B43" s="10" t="str">
        <f>"13537"</f>
        <v>13537</v>
      </c>
      <c r="C43" s="11" t="s">
        <v>515</v>
      </c>
      <c r="D43" s="10">
        <v>2013</v>
      </c>
      <c r="E43" s="11" t="s">
        <v>19</v>
      </c>
      <c r="F43" s="13" t="s">
        <v>40</v>
      </c>
    </row>
    <row r="44" spans="1:6" ht="16" x14ac:dyDescent="0.2">
      <c r="A44" s="9" t="s">
        <v>512</v>
      </c>
      <c r="B44" s="10" t="str">
        <f>"16506"</f>
        <v>16506</v>
      </c>
      <c r="C44" s="11" t="s">
        <v>514</v>
      </c>
      <c r="D44" s="10">
        <v>2016</v>
      </c>
      <c r="E44" s="11" t="s">
        <v>95</v>
      </c>
      <c r="F44" s="13" t="s">
        <v>40</v>
      </c>
    </row>
    <row r="45" spans="1:6" ht="16" x14ac:dyDescent="0.2">
      <c r="A45" s="9" t="s">
        <v>512</v>
      </c>
      <c r="B45" s="10" t="str">
        <f>"14521"</f>
        <v>14521</v>
      </c>
      <c r="C45" s="11" t="s">
        <v>513</v>
      </c>
      <c r="D45" s="10">
        <v>2014</v>
      </c>
      <c r="E45" s="11" t="s">
        <v>13</v>
      </c>
      <c r="F45" s="13" t="s">
        <v>40</v>
      </c>
    </row>
    <row r="46" spans="1:6" ht="16" x14ac:dyDescent="0.2">
      <c r="A46" s="9" t="s">
        <v>512</v>
      </c>
      <c r="B46" s="10" t="str">
        <f>"14522"</f>
        <v>14522</v>
      </c>
      <c r="C46" s="11" t="s">
        <v>511</v>
      </c>
      <c r="D46" s="10">
        <v>2014</v>
      </c>
      <c r="E46" s="11" t="s">
        <v>51</v>
      </c>
      <c r="F46" s="13" t="s">
        <v>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616E9-CB60-844E-977B-EB38566E0CF2}">
  <dimension ref="A1:F40"/>
  <sheetViews>
    <sheetView topLeftCell="A26" workbookViewId="0">
      <selection sqref="A1:XFD40"/>
    </sheetView>
  </sheetViews>
  <sheetFormatPr baseColWidth="10" defaultColWidth="8.6640625" defaultRowHeight="15" x14ac:dyDescent="0.2"/>
  <cols>
    <col min="1" max="1" width="6.6640625" style="3" customWidth="1"/>
    <col min="2" max="2" width="8.6640625" style="4" customWidth="1"/>
    <col min="3" max="3" width="24.6640625" style="5" customWidth="1"/>
    <col min="4" max="4" width="8.6640625" style="4" customWidth="1"/>
    <col min="5" max="5" width="28.6640625" style="5" customWidth="1"/>
    <col min="6" max="6" width="8.6640625" style="14" customWidth="1"/>
    <col min="7" max="16384" width="8.6640625" style="1"/>
  </cols>
  <sheetData>
    <row r="1" spans="1:6" s="2" customFormat="1" ht="14" x14ac:dyDescent="0.15">
      <c r="A1" s="6" t="s">
        <v>0</v>
      </c>
      <c r="B1" s="7" t="s">
        <v>1</v>
      </c>
      <c r="C1" s="8" t="s">
        <v>2</v>
      </c>
      <c r="D1" s="7" t="s">
        <v>3</v>
      </c>
      <c r="E1" s="8" t="s">
        <v>4</v>
      </c>
      <c r="F1" s="12" t="s">
        <v>5</v>
      </c>
    </row>
    <row r="2" spans="1:6" ht="16" x14ac:dyDescent="0.2">
      <c r="A2" s="9">
        <v>1</v>
      </c>
      <c r="B2" s="10" t="str">
        <f>"13001"</f>
        <v>13001</v>
      </c>
      <c r="C2" s="11" t="s">
        <v>510</v>
      </c>
      <c r="D2" s="10">
        <v>2013</v>
      </c>
      <c r="E2" s="11" t="s">
        <v>16</v>
      </c>
      <c r="F2" s="13" t="s">
        <v>509</v>
      </c>
    </row>
    <row r="3" spans="1:6" ht="16" x14ac:dyDescent="0.2">
      <c r="A3" s="9">
        <v>2</v>
      </c>
      <c r="B3" s="10" t="str">
        <f>"13007"</f>
        <v>13007</v>
      </c>
      <c r="C3" s="11" t="s">
        <v>508</v>
      </c>
      <c r="D3" s="10">
        <v>2013</v>
      </c>
      <c r="E3" s="11" t="s">
        <v>13</v>
      </c>
      <c r="F3" s="13" t="s">
        <v>507</v>
      </c>
    </row>
    <row r="4" spans="1:6" ht="16" x14ac:dyDescent="0.2">
      <c r="A4" s="9">
        <v>3</v>
      </c>
      <c r="B4" s="10" t="str">
        <f>"13012"</f>
        <v>13012</v>
      </c>
      <c r="C4" s="11" t="s">
        <v>506</v>
      </c>
      <c r="D4" s="10">
        <v>2013</v>
      </c>
      <c r="E4" s="11" t="s">
        <v>19</v>
      </c>
      <c r="F4" s="13" t="s">
        <v>505</v>
      </c>
    </row>
    <row r="5" spans="1:6" ht="16" x14ac:dyDescent="0.2">
      <c r="A5" s="9">
        <v>4</v>
      </c>
      <c r="B5" s="10" t="str">
        <f>"13002"</f>
        <v>13002</v>
      </c>
      <c r="C5" s="11" t="s">
        <v>504</v>
      </c>
      <c r="D5" s="10">
        <v>2013</v>
      </c>
      <c r="E5" s="11" t="s">
        <v>16</v>
      </c>
      <c r="F5" s="13" t="s">
        <v>503</v>
      </c>
    </row>
    <row r="6" spans="1:6" ht="16" x14ac:dyDescent="0.2">
      <c r="A6" s="9">
        <v>5</v>
      </c>
      <c r="B6" s="10" t="str">
        <f>"13008"</f>
        <v>13008</v>
      </c>
      <c r="C6" s="11" t="s">
        <v>502</v>
      </c>
      <c r="D6" s="10">
        <v>2013</v>
      </c>
      <c r="E6" s="11" t="s">
        <v>7</v>
      </c>
      <c r="F6" s="13" t="s">
        <v>501</v>
      </c>
    </row>
    <row r="7" spans="1:6" ht="16" x14ac:dyDescent="0.2">
      <c r="A7" s="9">
        <v>6</v>
      </c>
      <c r="B7" s="10" t="str">
        <f>"13024"</f>
        <v>13024</v>
      </c>
      <c r="C7" s="11" t="s">
        <v>500</v>
      </c>
      <c r="D7" s="10">
        <v>2013</v>
      </c>
      <c r="E7" s="11" t="s">
        <v>22</v>
      </c>
      <c r="F7" s="13" t="s">
        <v>499</v>
      </c>
    </row>
    <row r="8" spans="1:6" ht="16" x14ac:dyDescent="0.2">
      <c r="A8" s="9">
        <v>7</v>
      </c>
      <c r="B8" s="10" t="str">
        <f>"13009"</f>
        <v>13009</v>
      </c>
      <c r="C8" s="11" t="s">
        <v>498</v>
      </c>
      <c r="D8" s="10">
        <v>2013</v>
      </c>
      <c r="E8" s="11" t="s">
        <v>7</v>
      </c>
      <c r="F8" s="13" t="s">
        <v>497</v>
      </c>
    </row>
    <row r="9" spans="1:6" ht="16" x14ac:dyDescent="0.2">
      <c r="A9" s="9">
        <v>8</v>
      </c>
      <c r="B9" s="10" t="str">
        <f>"13010"</f>
        <v>13010</v>
      </c>
      <c r="C9" s="11" t="s">
        <v>496</v>
      </c>
      <c r="D9" s="10">
        <v>2013</v>
      </c>
      <c r="E9" s="11" t="s">
        <v>7</v>
      </c>
      <c r="F9" s="13" t="s">
        <v>495</v>
      </c>
    </row>
    <row r="10" spans="1:6" ht="16" x14ac:dyDescent="0.2">
      <c r="A10" s="9">
        <v>9</v>
      </c>
      <c r="B10" s="10" t="str">
        <f>"14015"</f>
        <v>14015</v>
      </c>
      <c r="C10" s="11" t="s">
        <v>494</v>
      </c>
      <c r="D10" s="10">
        <v>2014</v>
      </c>
      <c r="E10" s="11" t="s">
        <v>19</v>
      </c>
      <c r="F10" s="13" t="s">
        <v>493</v>
      </c>
    </row>
    <row r="11" spans="1:6" ht="16" x14ac:dyDescent="0.2">
      <c r="A11" s="9">
        <v>10</v>
      </c>
      <c r="B11" s="10" t="str">
        <f>"13022"</f>
        <v>13022</v>
      </c>
      <c r="C11" s="11" t="s">
        <v>492</v>
      </c>
      <c r="D11" s="10">
        <v>2013</v>
      </c>
      <c r="E11" s="11" t="s">
        <v>7</v>
      </c>
      <c r="F11" s="13" t="s">
        <v>491</v>
      </c>
    </row>
    <row r="12" spans="1:6" ht="16" x14ac:dyDescent="0.2">
      <c r="A12" s="9">
        <v>11</v>
      </c>
      <c r="B12" s="10" t="str">
        <f>"13020"</f>
        <v>13020</v>
      </c>
      <c r="C12" s="11" t="s">
        <v>490</v>
      </c>
      <c r="D12" s="10">
        <v>2013</v>
      </c>
      <c r="E12" s="11" t="s">
        <v>220</v>
      </c>
      <c r="F12" s="13" t="s">
        <v>489</v>
      </c>
    </row>
    <row r="13" spans="1:6" ht="16" x14ac:dyDescent="0.2">
      <c r="A13" s="9">
        <v>12</v>
      </c>
      <c r="B13" s="10" t="str">
        <f>"13035"</f>
        <v>13035</v>
      </c>
      <c r="C13" s="11" t="s">
        <v>488</v>
      </c>
      <c r="D13" s="10">
        <v>2013</v>
      </c>
      <c r="E13" s="11" t="s">
        <v>16</v>
      </c>
      <c r="F13" s="13" t="s">
        <v>487</v>
      </c>
    </row>
    <row r="14" spans="1:6" ht="16" x14ac:dyDescent="0.2">
      <c r="A14" s="9">
        <v>13</v>
      </c>
      <c r="B14" s="10" t="str">
        <f>"14013"</f>
        <v>14013</v>
      </c>
      <c r="C14" s="11" t="s">
        <v>486</v>
      </c>
      <c r="D14" s="10">
        <v>2014</v>
      </c>
      <c r="E14" s="11" t="s">
        <v>22</v>
      </c>
      <c r="F14" s="13" t="s">
        <v>485</v>
      </c>
    </row>
    <row r="15" spans="1:6" ht="16" x14ac:dyDescent="0.2">
      <c r="A15" s="9">
        <v>14</v>
      </c>
      <c r="B15" s="10" t="str">
        <f>"13017"</f>
        <v>13017</v>
      </c>
      <c r="C15" s="11" t="s">
        <v>484</v>
      </c>
      <c r="D15" s="10">
        <v>2013</v>
      </c>
      <c r="E15" s="11" t="s">
        <v>51</v>
      </c>
      <c r="F15" s="13" t="s">
        <v>483</v>
      </c>
    </row>
    <row r="16" spans="1:6" ht="16" x14ac:dyDescent="0.2">
      <c r="A16" s="9">
        <v>15</v>
      </c>
      <c r="B16" s="10" t="str">
        <f>"14002"</f>
        <v>14002</v>
      </c>
      <c r="C16" s="11" t="s">
        <v>482</v>
      </c>
      <c r="D16" s="10">
        <v>2014</v>
      </c>
      <c r="E16" s="11" t="s">
        <v>51</v>
      </c>
      <c r="F16" s="13" t="s">
        <v>481</v>
      </c>
    </row>
    <row r="17" spans="1:6" ht="16" x14ac:dyDescent="0.2">
      <c r="A17" s="9">
        <v>16</v>
      </c>
      <c r="B17" s="10" t="str">
        <f>"14016"</f>
        <v>14016</v>
      </c>
      <c r="C17" s="11" t="s">
        <v>480</v>
      </c>
      <c r="D17" s="10">
        <v>2014</v>
      </c>
      <c r="E17" s="11" t="s">
        <v>10</v>
      </c>
      <c r="F17" s="13" t="s">
        <v>479</v>
      </c>
    </row>
    <row r="18" spans="1:6" ht="16" x14ac:dyDescent="0.2">
      <c r="A18" s="9">
        <v>17</v>
      </c>
      <c r="B18" s="10" t="str">
        <f>"13021"</f>
        <v>13021</v>
      </c>
      <c r="C18" s="11" t="s">
        <v>478</v>
      </c>
      <c r="D18" s="10">
        <v>2013</v>
      </c>
      <c r="E18" s="11" t="s">
        <v>113</v>
      </c>
      <c r="F18" s="13" t="s">
        <v>477</v>
      </c>
    </row>
    <row r="19" spans="1:6" ht="16" x14ac:dyDescent="0.2">
      <c r="A19" s="9">
        <v>18</v>
      </c>
      <c r="B19" s="10" t="str">
        <f>"16003"</f>
        <v>16003</v>
      </c>
      <c r="C19" s="11" t="s">
        <v>476</v>
      </c>
      <c r="D19" s="10">
        <v>2016</v>
      </c>
      <c r="E19" s="11" t="s">
        <v>22</v>
      </c>
      <c r="F19" s="13" t="s">
        <v>475</v>
      </c>
    </row>
    <row r="20" spans="1:6" ht="16" x14ac:dyDescent="0.2">
      <c r="A20" s="9">
        <v>19</v>
      </c>
      <c r="B20" s="10" t="str">
        <f>"13011"</f>
        <v>13011</v>
      </c>
      <c r="C20" s="11" t="s">
        <v>474</v>
      </c>
      <c r="D20" s="10">
        <v>2013</v>
      </c>
      <c r="E20" s="11" t="s">
        <v>31</v>
      </c>
      <c r="F20" s="13" t="s">
        <v>473</v>
      </c>
    </row>
    <row r="21" spans="1:6" ht="16" x14ac:dyDescent="0.2">
      <c r="A21" s="9">
        <v>20</v>
      </c>
      <c r="B21" s="10" t="str">
        <f>"14001"</f>
        <v>14001</v>
      </c>
      <c r="C21" s="11" t="s">
        <v>472</v>
      </c>
      <c r="D21" s="10">
        <v>2014</v>
      </c>
      <c r="E21" s="11" t="s">
        <v>51</v>
      </c>
      <c r="F21" s="13" t="s">
        <v>471</v>
      </c>
    </row>
    <row r="22" spans="1:6" ht="16" x14ac:dyDescent="0.2">
      <c r="A22" s="9">
        <v>21</v>
      </c>
      <c r="B22" s="10" t="str">
        <f>"13005"</f>
        <v>13005</v>
      </c>
      <c r="C22" s="11" t="s">
        <v>470</v>
      </c>
      <c r="D22" s="10">
        <v>2013</v>
      </c>
      <c r="E22" s="11" t="s">
        <v>16</v>
      </c>
      <c r="F22" s="13" t="s">
        <v>469</v>
      </c>
    </row>
    <row r="23" spans="1:6" ht="16" x14ac:dyDescent="0.2">
      <c r="A23" s="9" t="s">
        <v>451</v>
      </c>
      <c r="B23" s="10" t="str">
        <f>"14006"</f>
        <v>14006</v>
      </c>
      <c r="C23" s="11" t="s">
        <v>468</v>
      </c>
      <c r="D23" s="10">
        <v>2013</v>
      </c>
      <c r="E23" s="11" t="s">
        <v>7</v>
      </c>
      <c r="F23" s="13" t="s">
        <v>40</v>
      </c>
    </row>
    <row r="24" spans="1:6" ht="16" x14ac:dyDescent="0.2">
      <c r="A24" s="9" t="s">
        <v>451</v>
      </c>
      <c r="B24" s="10" t="str">
        <f>"14009"</f>
        <v>14009</v>
      </c>
      <c r="C24" s="11" t="s">
        <v>467</v>
      </c>
      <c r="D24" s="10">
        <v>2014</v>
      </c>
      <c r="E24" s="11" t="s">
        <v>51</v>
      </c>
      <c r="F24" s="13" t="s">
        <v>40</v>
      </c>
    </row>
    <row r="25" spans="1:6" ht="16" x14ac:dyDescent="0.2">
      <c r="A25" s="9" t="s">
        <v>451</v>
      </c>
      <c r="B25" s="10" t="str">
        <f>"14010"</f>
        <v>14010</v>
      </c>
      <c r="C25" s="11" t="s">
        <v>466</v>
      </c>
      <c r="D25" s="10">
        <v>2014</v>
      </c>
      <c r="E25" s="11" t="s">
        <v>110</v>
      </c>
      <c r="F25" s="13" t="s">
        <v>40</v>
      </c>
    </row>
    <row r="26" spans="1:6" ht="16" x14ac:dyDescent="0.2">
      <c r="A26" s="9" t="s">
        <v>451</v>
      </c>
      <c r="B26" s="10" t="str">
        <f>"16002"</f>
        <v>16002</v>
      </c>
      <c r="C26" s="11" t="s">
        <v>465</v>
      </c>
      <c r="D26" s="10">
        <v>2016</v>
      </c>
      <c r="E26" s="11" t="s">
        <v>110</v>
      </c>
      <c r="F26" s="13" t="s">
        <v>40</v>
      </c>
    </row>
    <row r="27" spans="1:6" ht="16" x14ac:dyDescent="0.2">
      <c r="A27" s="9" t="s">
        <v>451</v>
      </c>
      <c r="B27" s="10" t="str">
        <f>"13025"</f>
        <v>13025</v>
      </c>
      <c r="C27" s="11" t="s">
        <v>464</v>
      </c>
      <c r="D27" s="10">
        <v>2013</v>
      </c>
      <c r="E27" s="11" t="s">
        <v>22</v>
      </c>
      <c r="F27" s="13" t="s">
        <v>40</v>
      </c>
    </row>
    <row r="28" spans="1:6" ht="16" x14ac:dyDescent="0.2">
      <c r="A28" s="9" t="s">
        <v>451</v>
      </c>
      <c r="B28" s="10" t="str">
        <f>"15001"</f>
        <v>15001</v>
      </c>
      <c r="C28" s="11" t="s">
        <v>463</v>
      </c>
      <c r="D28" s="10">
        <v>2015</v>
      </c>
      <c r="E28" s="11" t="s">
        <v>16</v>
      </c>
      <c r="F28" s="13" t="s">
        <v>40</v>
      </c>
    </row>
    <row r="29" spans="1:6" ht="16" x14ac:dyDescent="0.2">
      <c r="A29" s="9" t="s">
        <v>451</v>
      </c>
      <c r="B29" s="10" t="str">
        <f>"13032"</f>
        <v>13032</v>
      </c>
      <c r="C29" s="11" t="s">
        <v>462</v>
      </c>
      <c r="D29" s="10">
        <v>2013</v>
      </c>
      <c r="E29" s="11" t="s">
        <v>31</v>
      </c>
      <c r="F29" s="13" t="s">
        <v>40</v>
      </c>
    </row>
    <row r="30" spans="1:6" ht="16" x14ac:dyDescent="0.2">
      <c r="A30" s="9" t="s">
        <v>451</v>
      </c>
      <c r="B30" s="10" t="str">
        <f>"14012"</f>
        <v>14012</v>
      </c>
      <c r="C30" s="11" t="s">
        <v>461</v>
      </c>
      <c r="D30" s="10">
        <v>2014</v>
      </c>
      <c r="E30" s="11" t="s">
        <v>51</v>
      </c>
      <c r="F30" s="13" t="s">
        <v>40</v>
      </c>
    </row>
    <row r="31" spans="1:6" ht="16" x14ac:dyDescent="0.2">
      <c r="A31" s="9" t="s">
        <v>451</v>
      </c>
      <c r="B31" s="10" t="str">
        <f>"13033"</f>
        <v>13033</v>
      </c>
      <c r="C31" s="11" t="s">
        <v>460</v>
      </c>
      <c r="D31" s="10">
        <v>2013</v>
      </c>
      <c r="E31" s="11" t="s">
        <v>51</v>
      </c>
      <c r="F31" s="13" t="s">
        <v>40</v>
      </c>
    </row>
    <row r="32" spans="1:6" ht="16" x14ac:dyDescent="0.2">
      <c r="A32" s="9" t="s">
        <v>451</v>
      </c>
      <c r="B32" s="10" t="str">
        <f>"14014"</f>
        <v>14014</v>
      </c>
      <c r="C32" s="11" t="s">
        <v>459</v>
      </c>
      <c r="D32" s="10">
        <v>2014</v>
      </c>
      <c r="E32" s="11" t="s">
        <v>51</v>
      </c>
      <c r="F32" s="13" t="s">
        <v>40</v>
      </c>
    </row>
    <row r="33" spans="1:6" ht="16" x14ac:dyDescent="0.2">
      <c r="A33" s="9" t="s">
        <v>451</v>
      </c>
      <c r="B33" s="10" t="str">
        <f>"13034"</f>
        <v>13034</v>
      </c>
      <c r="C33" s="11" t="s">
        <v>458</v>
      </c>
      <c r="D33" s="10">
        <v>2013</v>
      </c>
      <c r="E33" s="11" t="s">
        <v>22</v>
      </c>
      <c r="F33" s="13" t="s">
        <v>40</v>
      </c>
    </row>
    <row r="34" spans="1:6" ht="16" x14ac:dyDescent="0.2">
      <c r="A34" s="9" t="s">
        <v>451</v>
      </c>
      <c r="B34" s="10" t="str">
        <f>"13036"</f>
        <v>13036</v>
      </c>
      <c r="C34" s="11" t="s">
        <v>457</v>
      </c>
      <c r="D34" s="10">
        <v>2013</v>
      </c>
      <c r="E34" s="11" t="s">
        <v>79</v>
      </c>
      <c r="F34" s="13" t="s">
        <v>40</v>
      </c>
    </row>
    <row r="35" spans="1:6" ht="16" x14ac:dyDescent="0.2">
      <c r="A35" s="9" t="s">
        <v>451</v>
      </c>
      <c r="B35" s="10" t="str">
        <f>"14018"</f>
        <v>14018</v>
      </c>
      <c r="C35" s="11" t="s">
        <v>456</v>
      </c>
      <c r="D35" s="10">
        <v>2014</v>
      </c>
      <c r="E35" s="11" t="s">
        <v>79</v>
      </c>
      <c r="F35" s="13" t="s">
        <v>40</v>
      </c>
    </row>
    <row r="36" spans="1:6" ht="16" x14ac:dyDescent="0.2">
      <c r="A36" s="9" t="s">
        <v>451</v>
      </c>
      <c r="B36" s="10" t="str">
        <f>"14019"</f>
        <v>14019</v>
      </c>
      <c r="C36" s="11" t="s">
        <v>455</v>
      </c>
      <c r="D36" s="10">
        <v>2014</v>
      </c>
      <c r="E36" s="11" t="s">
        <v>19</v>
      </c>
      <c r="F36" s="13" t="s">
        <v>40</v>
      </c>
    </row>
    <row r="37" spans="1:6" ht="16" x14ac:dyDescent="0.2">
      <c r="A37" s="9" t="s">
        <v>451</v>
      </c>
      <c r="B37" s="10" t="str">
        <f>"14020"</f>
        <v>14020</v>
      </c>
      <c r="C37" s="11" t="s">
        <v>454</v>
      </c>
      <c r="D37" s="10">
        <v>2014</v>
      </c>
      <c r="E37" s="11" t="s">
        <v>19</v>
      </c>
      <c r="F37" s="13" t="s">
        <v>40</v>
      </c>
    </row>
    <row r="38" spans="1:6" ht="16" x14ac:dyDescent="0.2">
      <c r="A38" s="9" t="s">
        <v>451</v>
      </c>
      <c r="B38" s="10" t="str">
        <f>"13038"</f>
        <v>13038</v>
      </c>
      <c r="C38" s="11" t="s">
        <v>453</v>
      </c>
      <c r="D38" s="10">
        <v>2013</v>
      </c>
      <c r="E38" s="11" t="s">
        <v>31</v>
      </c>
      <c r="F38" s="13" t="s">
        <v>40</v>
      </c>
    </row>
    <row r="39" spans="1:6" ht="16" x14ac:dyDescent="0.2">
      <c r="A39" s="9" t="s">
        <v>451</v>
      </c>
      <c r="B39" s="10" t="str">
        <f>"14021"</f>
        <v>14021</v>
      </c>
      <c r="C39" s="11" t="s">
        <v>452</v>
      </c>
      <c r="D39" s="10">
        <v>2014</v>
      </c>
      <c r="E39" s="11" t="s">
        <v>22</v>
      </c>
      <c r="F39" s="13" t="s">
        <v>40</v>
      </c>
    </row>
    <row r="40" spans="1:6" ht="16" x14ac:dyDescent="0.2">
      <c r="A40" s="9" t="s">
        <v>451</v>
      </c>
      <c r="B40" s="10" t="str">
        <f>"15002"</f>
        <v>15002</v>
      </c>
      <c r="C40" s="11" t="s">
        <v>450</v>
      </c>
      <c r="D40" s="10">
        <v>2015</v>
      </c>
      <c r="E40" s="11" t="s">
        <v>22</v>
      </c>
      <c r="F40" s="13" t="s">
        <v>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CF957-597B-2F47-B416-DC0408558A3F}">
  <dimension ref="A1:F36"/>
  <sheetViews>
    <sheetView topLeftCell="A25" workbookViewId="0">
      <selection activeCell="C9" sqref="C9"/>
    </sheetView>
  </sheetViews>
  <sheetFormatPr baseColWidth="10" defaultColWidth="8.6640625" defaultRowHeight="15" x14ac:dyDescent="0.2"/>
  <cols>
    <col min="1" max="1" width="6.6640625" style="3" customWidth="1"/>
    <col min="2" max="2" width="8.6640625" style="4" customWidth="1"/>
    <col min="3" max="3" width="24.6640625" style="5" customWidth="1"/>
    <col min="4" max="4" width="8.6640625" style="4" customWidth="1"/>
    <col min="5" max="5" width="28.6640625" style="5" customWidth="1"/>
    <col min="6" max="6" width="8.6640625" style="14" customWidth="1"/>
    <col min="7" max="16384" width="8.6640625" style="1"/>
  </cols>
  <sheetData>
    <row r="1" spans="1:6" s="2" customFormat="1" ht="14" x14ac:dyDescent="0.15">
      <c r="A1" s="6" t="s">
        <v>0</v>
      </c>
      <c r="B1" s="7" t="s">
        <v>1</v>
      </c>
      <c r="C1" s="8" t="s">
        <v>2</v>
      </c>
      <c r="D1" s="7" t="s">
        <v>3</v>
      </c>
      <c r="E1" s="8" t="s">
        <v>4</v>
      </c>
      <c r="F1" s="12" t="s">
        <v>5</v>
      </c>
    </row>
    <row r="2" spans="1:6" ht="16" x14ac:dyDescent="0.2">
      <c r="A2" s="9">
        <v>1</v>
      </c>
      <c r="B2" s="10" t="str">
        <f>"09522"</f>
        <v>09522</v>
      </c>
      <c r="C2" s="11" t="s">
        <v>449</v>
      </c>
      <c r="D2" s="10">
        <v>2009</v>
      </c>
      <c r="E2" s="11" t="s">
        <v>10</v>
      </c>
      <c r="F2" s="13" t="s">
        <v>448</v>
      </c>
    </row>
    <row r="3" spans="1:6" ht="16" x14ac:dyDescent="0.2">
      <c r="A3" s="9">
        <v>2</v>
      </c>
      <c r="B3" s="10" t="str">
        <f>"10534"</f>
        <v>10534</v>
      </c>
      <c r="C3" s="11" t="s">
        <v>447</v>
      </c>
      <c r="D3" s="10">
        <v>2010</v>
      </c>
      <c r="E3" s="11" t="s">
        <v>22</v>
      </c>
      <c r="F3" s="13" t="s">
        <v>446</v>
      </c>
    </row>
    <row r="4" spans="1:6" ht="16" x14ac:dyDescent="0.2">
      <c r="A4" s="9">
        <v>3</v>
      </c>
      <c r="B4" s="10" t="str">
        <f>"09504"</f>
        <v>09504</v>
      </c>
      <c r="C4" s="11" t="s">
        <v>445</v>
      </c>
      <c r="D4" s="10">
        <v>2009</v>
      </c>
      <c r="E4" s="11" t="s">
        <v>79</v>
      </c>
      <c r="F4" s="13" t="s">
        <v>444</v>
      </c>
    </row>
    <row r="5" spans="1:6" ht="16" x14ac:dyDescent="0.2">
      <c r="A5" s="9">
        <v>4</v>
      </c>
      <c r="B5" s="10" t="str">
        <f>"09505"</f>
        <v>09505</v>
      </c>
      <c r="C5" s="11" t="s">
        <v>443</v>
      </c>
      <c r="D5" s="10">
        <v>2009</v>
      </c>
      <c r="E5" s="11" t="s">
        <v>10</v>
      </c>
      <c r="F5" s="13" t="s">
        <v>442</v>
      </c>
    </row>
    <row r="6" spans="1:6" ht="16" x14ac:dyDescent="0.2">
      <c r="A6" s="9">
        <v>5</v>
      </c>
      <c r="B6" s="10" t="str">
        <f>"10503"</f>
        <v>10503</v>
      </c>
      <c r="C6" s="11" t="s">
        <v>441</v>
      </c>
      <c r="D6" s="10">
        <v>2010</v>
      </c>
      <c r="E6" s="11" t="s">
        <v>10</v>
      </c>
      <c r="F6" s="13" t="s">
        <v>440</v>
      </c>
    </row>
    <row r="7" spans="1:6" ht="16" x14ac:dyDescent="0.2">
      <c r="A7" s="9">
        <v>6</v>
      </c>
      <c r="B7" s="10" t="str">
        <f>"10513"</f>
        <v>10513</v>
      </c>
      <c r="C7" s="11" t="s">
        <v>439</v>
      </c>
      <c r="D7" s="10">
        <v>2010</v>
      </c>
      <c r="E7" s="11" t="s">
        <v>95</v>
      </c>
      <c r="F7" s="13" t="s">
        <v>438</v>
      </c>
    </row>
    <row r="8" spans="1:6" ht="16" x14ac:dyDescent="0.2">
      <c r="A8" s="9">
        <v>7</v>
      </c>
      <c r="B8" s="10" t="str">
        <f>"10518"</f>
        <v>10518</v>
      </c>
      <c r="C8" s="11" t="s">
        <v>437</v>
      </c>
      <c r="D8" s="10">
        <v>2010</v>
      </c>
      <c r="E8" s="11" t="s">
        <v>7</v>
      </c>
      <c r="F8" s="13" t="s">
        <v>436</v>
      </c>
    </row>
    <row r="9" spans="1:6" ht="16" x14ac:dyDescent="0.2">
      <c r="A9" s="9">
        <v>8</v>
      </c>
      <c r="B9" s="10" t="str">
        <f>"10509"</f>
        <v>10509</v>
      </c>
      <c r="C9" s="15" t="s">
        <v>435</v>
      </c>
      <c r="D9" s="10">
        <v>2010</v>
      </c>
      <c r="E9" s="11" t="s">
        <v>19</v>
      </c>
      <c r="F9" s="13" t="s">
        <v>434</v>
      </c>
    </row>
    <row r="10" spans="1:6" ht="16" x14ac:dyDescent="0.2">
      <c r="A10" s="9">
        <v>9</v>
      </c>
      <c r="B10" s="10" t="str">
        <f>"09502"</f>
        <v>09502</v>
      </c>
      <c r="C10" s="11" t="s">
        <v>433</v>
      </c>
      <c r="D10" s="10">
        <v>2009</v>
      </c>
      <c r="E10" s="11" t="s">
        <v>7</v>
      </c>
      <c r="F10" s="13" t="s">
        <v>432</v>
      </c>
    </row>
    <row r="11" spans="1:6" ht="16" x14ac:dyDescent="0.2">
      <c r="A11" s="9">
        <v>10</v>
      </c>
      <c r="B11" s="10" t="str">
        <f>"09531"</f>
        <v>09531</v>
      </c>
      <c r="C11" s="11" t="s">
        <v>431</v>
      </c>
      <c r="D11" s="10">
        <v>2009</v>
      </c>
      <c r="E11" s="11" t="s">
        <v>7</v>
      </c>
      <c r="F11" s="13" t="s">
        <v>430</v>
      </c>
    </row>
    <row r="12" spans="1:6" ht="16" x14ac:dyDescent="0.2">
      <c r="A12" s="9">
        <v>11</v>
      </c>
      <c r="B12" s="10" t="str">
        <f>"10501"</f>
        <v>10501</v>
      </c>
      <c r="C12" s="11" t="s">
        <v>429</v>
      </c>
      <c r="D12" s="10">
        <v>2010</v>
      </c>
      <c r="E12" s="11" t="s">
        <v>95</v>
      </c>
      <c r="F12" s="13" t="s">
        <v>428</v>
      </c>
    </row>
    <row r="13" spans="1:6" ht="16" x14ac:dyDescent="0.2">
      <c r="A13" s="9">
        <v>12</v>
      </c>
      <c r="B13" s="10" t="str">
        <f>"09511"</f>
        <v>09511</v>
      </c>
      <c r="C13" s="11" t="s">
        <v>427</v>
      </c>
      <c r="D13" s="10">
        <v>2009</v>
      </c>
      <c r="E13" s="11" t="s">
        <v>7</v>
      </c>
      <c r="F13" s="13" t="s">
        <v>426</v>
      </c>
    </row>
    <row r="14" spans="1:6" ht="16" x14ac:dyDescent="0.2">
      <c r="A14" s="9">
        <v>13</v>
      </c>
      <c r="B14" s="10" t="str">
        <f>"10506"</f>
        <v>10506</v>
      </c>
      <c r="C14" s="11" t="s">
        <v>425</v>
      </c>
      <c r="D14" s="10">
        <v>2010</v>
      </c>
      <c r="E14" s="11" t="s">
        <v>79</v>
      </c>
      <c r="F14" s="13" t="s">
        <v>424</v>
      </c>
    </row>
    <row r="15" spans="1:6" ht="16" x14ac:dyDescent="0.2">
      <c r="A15" s="9">
        <v>14</v>
      </c>
      <c r="B15" s="10" t="str">
        <f>"10502"</f>
        <v>10502</v>
      </c>
      <c r="C15" s="11" t="s">
        <v>423</v>
      </c>
      <c r="D15" s="10">
        <v>2010</v>
      </c>
      <c r="E15" s="11" t="s">
        <v>10</v>
      </c>
      <c r="F15" s="13" t="s">
        <v>422</v>
      </c>
    </row>
    <row r="16" spans="1:6" ht="16" x14ac:dyDescent="0.2">
      <c r="A16" s="9">
        <v>15</v>
      </c>
      <c r="B16" s="10" t="str">
        <f>"09541"</f>
        <v>09541</v>
      </c>
      <c r="C16" s="11" t="s">
        <v>421</v>
      </c>
      <c r="D16" s="10">
        <v>2009</v>
      </c>
      <c r="E16" s="11" t="s">
        <v>420</v>
      </c>
      <c r="F16" s="13" t="s">
        <v>419</v>
      </c>
    </row>
    <row r="17" spans="1:6" ht="16" x14ac:dyDescent="0.2">
      <c r="A17" s="9">
        <v>16</v>
      </c>
      <c r="B17" s="10" t="str">
        <f>"09528"</f>
        <v>09528</v>
      </c>
      <c r="C17" s="11" t="s">
        <v>418</v>
      </c>
      <c r="D17" s="10">
        <v>2009</v>
      </c>
      <c r="E17" s="11" t="s">
        <v>7</v>
      </c>
      <c r="F17" s="13" t="s">
        <v>417</v>
      </c>
    </row>
    <row r="18" spans="1:6" ht="16" x14ac:dyDescent="0.2">
      <c r="A18" s="9">
        <v>17</v>
      </c>
      <c r="B18" s="10" t="str">
        <f>"10508"</f>
        <v>10508</v>
      </c>
      <c r="C18" s="11" t="s">
        <v>416</v>
      </c>
      <c r="D18" s="10">
        <v>2010</v>
      </c>
      <c r="E18" s="11" t="s">
        <v>79</v>
      </c>
      <c r="F18" s="13" t="s">
        <v>415</v>
      </c>
    </row>
    <row r="19" spans="1:6" ht="16" x14ac:dyDescent="0.2">
      <c r="A19" s="9">
        <v>18</v>
      </c>
      <c r="B19" s="10" t="str">
        <f>"09532"</f>
        <v>09532</v>
      </c>
      <c r="C19" s="11" t="s">
        <v>414</v>
      </c>
      <c r="D19" s="10">
        <v>2009</v>
      </c>
      <c r="E19" s="11" t="s">
        <v>7</v>
      </c>
      <c r="F19" s="13" t="s">
        <v>413</v>
      </c>
    </row>
    <row r="20" spans="1:6" ht="16" x14ac:dyDescent="0.2">
      <c r="A20" s="9">
        <v>19</v>
      </c>
      <c r="B20" s="10" t="str">
        <f>"09503"</f>
        <v>09503</v>
      </c>
      <c r="C20" s="11" t="s">
        <v>412</v>
      </c>
      <c r="D20" s="10">
        <v>2009</v>
      </c>
      <c r="E20" s="11" t="s">
        <v>110</v>
      </c>
      <c r="F20" s="13" t="s">
        <v>411</v>
      </c>
    </row>
    <row r="21" spans="1:6" ht="16" x14ac:dyDescent="0.2">
      <c r="A21" s="9">
        <v>20</v>
      </c>
      <c r="B21" s="10" t="str">
        <f>"10515"</f>
        <v>10515</v>
      </c>
      <c r="C21" s="11" t="s">
        <v>410</v>
      </c>
      <c r="D21" s="10">
        <v>2010</v>
      </c>
      <c r="E21" s="11" t="s">
        <v>7</v>
      </c>
      <c r="F21" s="13" t="s">
        <v>409</v>
      </c>
    </row>
    <row r="22" spans="1:6" ht="16" x14ac:dyDescent="0.2">
      <c r="A22" s="9">
        <v>21</v>
      </c>
      <c r="B22" s="10" t="str">
        <f>"09530"</f>
        <v>09530</v>
      </c>
      <c r="C22" s="11" t="s">
        <v>408</v>
      </c>
      <c r="D22" s="10">
        <v>2009</v>
      </c>
      <c r="E22" s="11" t="s">
        <v>10</v>
      </c>
      <c r="F22" s="13" t="s">
        <v>407</v>
      </c>
    </row>
    <row r="23" spans="1:6" ht="16" x14ac:dyDescent="0.2">
      <c r="A23" s="9">
        <v>22</v>
      </c>
      <c r="B23" s="10" t="str">
        <f>"09533"</f>
        <v>09533</v>
      </c>
      <c r="C23" s="11" t="s">
        <v>406</v>
      </c>
      <c r="D23" s="10">
        <v>2009</v>
      </c>
      <c r="E23" s="11" t="s">
        <v>113</v>
      </c>
      <c r="F23" s="13" t="s">
        <v>405</v>
      </c>
    </row>
    <row r="24" spans="1:6" ht="16" x14ac:dyDescent="0.2">
      <c r="A24" s="9">
        <v>23</v>
      </c>
      <c r="B24" s="10" t="str">
        <f>"09513"</f>
        <v>09513</v>
      </c>
      <c r="C24" s="11" t="s">
        <v>404</v>
      </c>
      <c r="D24" s="10">
        <v>2009</v>
      </c>
      <c r="E24" s="11" t="s">
        <v>220</v>
      </c>
      <c r="F24" s="13" t="s">
        <v>403</v>
      </c>
    </row>
    <row r="25" spans="1:6" ht="16" x14ac:dyDescent="0.2">
      <c r="A25" s="9">
        <v>24</v>
      </c>
      <c r="B25" s="10" t="str">
        <f>"09506"</f>
        <v>09506</v>
      </c>
      <c r="C25" s="11" t="s">
        <v>402</v>
      </c>
      <c r="D25" s="10">
        <v>2009</v>
      </c>
      <c r="E25" s="11" t="s">
        <v>51</v>
      </c>
      <c r="F25" s="13" t="s">
        <v>401</v>
      </c>
    </row>
    <row r="26" spans="1:6" ht="16" x14ac:dyDescent="0.2">
      <c r="A26" s="9">
        <v>25</v>
      </c>
      <c r="B26" s="10" t="str">
        <f>"10535"</f>
        <v>10535</v>
      </c>
      <c r="C26" s="11" t="s">
        <v>400</v>
      </c>
      <c r="D26" s="10">
        <v>2010</v>
      </c>
      <c r="E26" s="11" t="s">
        <v>7</v>
      </c>
      <c r="F26" s="13" t="s">
        <v>399</v>
      </c>
    </row>
    <row r="27" spans="1:6" ht="16" x14ac:dyDescent="0.2">
      <c r="A27" s="9">
        <v>26</v>
      </c>
      <c r="B27" s="10" t="str">
        <f>"10517"</f>
        <v>10517</v>
      </c>
      <c r="C27" s="11" t="s">
        <v>398</v>
      </c>
      <c r="D27" s="10">
        <v>2010</v>
      </c>
      <c r="E27" s="11" t="s">
        <v>51</v>
      </c>
      <c r="F27" s="13" t="s">
        <v>397</v>
      </c>
    </row>
    <row r="28" spans="1:6" ht="16" x14ac:dyDescent="0.2">
      <c r="A28" s="9">
        <v>27</v>
      </c>
      <c r="B28" s="10" t="str">
        <f>"09540"</f>
        <v>09540</v>
      </c>
      <c r="C28" s="11" t="s">
        <v>396</v>
      </c>
      <c r="D28" s="10">
        <v>2009</v>
      </c>
      <c r="E28" s="11" t="s">
        <v>34</v>
      </c>
      <c r="F28" s="13" t="s">
        <v>395</v>
      </c>
    </row>
    <row r="29" spans="1:6" ht="16" x14ac:dyDescent="0.2">
      <c r="A29" s="9">
        <v>28</v>
      </c>
      <c r="B29" s="10" t="str">
        <f>"10525"</f>
        <v>10525</v>
      </c>
      <c r="C29" s="11" t="s">
        <v>394</v>
      </c>
      <c r="D29" s="10">
        <v>2010</v>
      </c>
      <c r="E29" s="11" t="s">
        <v>393</v>
      </c>
      <c r="F29" s="13" t="s">
        <v>392</v>
      </c>
    </row>
    <row r="30" spans="1:6" ht="16" x14ac:dyDescent="0.2">
      <c r="A30" s="9">
        <v>29</v>
      </c>
      <c r="B30" s="10" t="str">
        <f>"10521"</f>
        <v>10521</v>
      </c>
      <c r="C30" s="11" t="s">
        <v>391</v>
      </c>
      <c r="D30" s="10">
        <v>2010</v>
      </c>
      <c r="E30" s="11" t="s">
        <v>16</v>
      </c>
      <c r="F30" s="13" t="s">
        <v>390</v>
      </c>
    </row>
    <row r="31" spans="1:6" ht="16" x14ac:dyDescent="0.2">
      <c r="A31" s="9">
        <v>30</v>
      </c>
      <c r="B31" s="10" t="str">
        <f>"10511"</f>
        <v>10511</v>
      </c>
      <c r="C31" s="11" t="s">
        <v>389</v>
      </c>
      <c r="D31" s="10">
        <v>2010</v>
      </c>
      <c r="E31" s="11" t="s">
        <v>31</v>
      </c>
      <c r="F31" s="13" t="s">
        <v>388</v>
      </c>
    </row>
    <row r="32" spans="1:6" ht="16" x14ac:dyDescent="0.2">
      <c r="A32" s="9">
        <v>31</v>
      </c>
      <c r="B32" s="10" t="str">
        <f>"09529"</f>
        <v>09529</v>
      </c>
      <c r="C32" s="11" t="s">
        <v>387</v>
      </c>
      <c r="D32" s="10">
        <v>2009</v>
      </c>
      <c r="E32" s="11" t="s">
        <v>220</v>
      </c>
      <c r="F32" s="13" t="s">
        <v>386</v>
      </c>
    </row>
    <row r="33" spans="1:6" ht="16" x14ac:dyDescent="0.2">
      <c r="A33" s="9">
        <v>32</v>
      </c>
      <c r="B33" s="10" t="str">
        <f>"09520"</f>
        <v>09520</v>
      </c>
      <c r="C33" s="11" t="s">
        <v>385</v>
      </c>
      <c r="D33" s="10">
        <v>2009</v>
      </c>
      <c r="E33" s="11" t="s">
        <v>95</v>
      </c>
      <c r="F33" s="13" t="s">
        <v>384</v>
      </c>
    </row>
    <row r="34" spans="1:6" ht="16" x14ac:dyDescent="0.2">
      <c r="A34" s="9" t="s">
        <v>381</v>
      </c>
      <c r="B34" s="10" t="str">
        <f>"10516"</f>
        <v>10516</v>
      </c>
      <c r="C34" s="11" t="s">
        <v>383</v>
      </c>
      <c r="D34" s="10">
        <v>2010</v>
      </c>
      <c r="E34" s="11" t="s">
        <v>31</v>
      </c>
      <c r="F34" s="13" t="s">
        <v>40</v>
      </c>
    </row>
    <row r="35" spans="1:6" ht="16" x14ac:dyDescent="0.2">
      <c r="A35" s="9" t="s">
        <v>381</v>
      </c>
      <c r="B35" s="10" t="str">
        <f>"10530"</f>
        <v>10530</v>
      </c>
      <c r="C35" s="11" t="s">
        <v>382</v>
      </c>
      <c r="D35" s="10">
        <v>2010</v>
      </c>
      <c r="E35" s="11" t="s">
        <v>113</v>
      </c>
      <c r="F35" s="13" t="s">
        <v>40</v>
      </c>
    </row>
    <row r="36" spans="1:6" ht="16" x14ac:dyDescent="0.2">
      <c r="A36" s="9" t="s">
        <v>381</v>
      </c>
      <c r="B36" s="10" t="str">
        <f>"10542"</f>
        <v>10542</v>
      </c>
      <c r="C36" s="11" t="s">
        <v>380</v>
      </c>
      <c r="D36" s="10">
        <v>2010</v>
      </c>
      <c r="E36" s="11" t="s">
        <v>13</v>
      </c>
      <c r="F36" s="13" t="s">
        <v>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C9E00-1001-004B-A021-08C39FCA6316}">
  <dimension ref="A1:F40"/>
  <sheetViews>
    <sheetView topLeftCell="A31" workbookViewId="0"/>
  </sheetViews>
  <sheetFormatPr baseColWidth="10" defaultColWidth="8.6640625" defaultRowHeight="15" x14ac:dyDescent="0.2"/>
  <cols>
    <col min="1" max="1" width="6.6640625" style="3" customWidth="1"/>
    <col min="2" max="2" width="8.6640625" style="4" customWidth="1"/>
    <col min="3" max="3" width="24.6640625" style="5" customWidth="1"/>
    <col min="4" max="4" width="8.6640625" style="4" customWidth="1"/>
    <col min="5" max="5" width="28.6640625" style="5" customWidth="1"/>
    <col min="6" max="6" width="8.6640625" style="14" customWidth="1"/>
    <col min="7" max="16384" width="8.6640625" style="1"/>
  </cols>
  <sheetData>
    <row r="1" spans="1:6" s="2" customFormat="1" ht="14" x14ac:dyDescent="0.15">
      <c r="A1" s="6" t="s">
        <v>0</v>
      </c>
      <c r="B1" s="7" t="s">
        <v>1</v>
      </c>
      <c r="C1" s="8" t="s">
        <v>2</v>
      </c>
      <c r="D1" s="7" t="s">
        <v>3</v>
      </c>
      <c r="E1" s="8" t="s">
        <v>4</v>
      </c>
      <c r="F1" s="12" t="s">
        <v>5</v>
      </c>
    </row>
    <row r="2" spans="1:6" ht="16" x14ac:dyDescent="0.2">
      <c r="A2" s="9">
        <v>1</v>
      </c>
      <c r="B2" s="10" t="str">
        <f>"09014"</f>
        <v>09014</v>
      </c>
      <c r="C2" s="11" t="s">
        <v>379</v>
      </c>
      <c r="D2" s="10">
        <v>2009</v>
      </c>
      <c r="E2" s="11" t="s">
        <v>22</v>
      </c>
      <c r="F2" s="13" t="s">
        <v>378</v>
      </c>
    </row>
    <row r="3" spans="1:6" ht="16" x14ac:dyDescent="0.2">
      <c r="A3" s="9">
        <v>2</v>
      </c>
      <c r="B3" s="10" t="str">
        <f>"09008"</f>
        <v>09008</v>
      </c>
      <c r="C3" s="11" t="s">
        <v>377</v>
      </c>
      <c r="D3" s="10">
        <v>2009</v>
      </c>
      <c r="E3" s="11" t="s">
        <v>13</v>
      </c>
      <c r="F3" s="13" t="s">
        <v>376</v>
      </c>
    </row>
    <row r="4" spans="1:6" ht="16" x14ac:dyDescent="0.2">
      <c r="A4" s="9">
        <v>3</v>
      </c>
      <c r="B4" s="10" t="str">
        <f>"10039"</f>
        <v>10039</v>
      </c>
      <c r="C4" s="11" t="s">
        <v>375</v>
      </c>
      <c r="D4" s="10">
        <v>2010</v>
      </c>
      <c r="E4" s="11" t="s">
        <v>13</v>
      </c>
      <c r="F4" s="13" t="s">
        <v>374</v>
      </c>
    </row>
    <row r="5" spans="1:6" ht="16" x14ac:dyDescent="0.2">
      <c r="A5" s="9">
        <v>4</v>
      </c>
      <c r="B5" s="10" t="str">
        <f>"09019"</f>
        <v>09019</v>
      </c>
      <c r="C5" s="11" t="s">
        <v>373</v>
      </c>
      <c r="D5" s="10">
        <v>2009</v>
      </c>
      <c r="E5" s="11" t="s">
        <v>76</v>
      </c>
      <c r="F5" s="13" t="s">
        <v>372</v>
      </c>
    </row>
    <row r="6" spans="1:6" ht="16" x14ac:dyDescent="0.2">
      <c r="A6" s="9">
        <v>5</v>
      </c>
      <c r="B6" s="10" t="str">
        <f>"09041"</f>
        <v>09041</v>
      </c>
      <c r="C6" s="11" t="s">
        <v>371</v>
      </c>
      <c r="D6" s="10">
        <v>2009</v>
      </c>
      <c r="E6" s="11" t="s">
        <v>13</v>
      </c>
      <c r="F6" s="13" t="s">
        <v>370</v>
      </c>
    </row>
    <row r="7" spans="1:6" ht="16" x14ac:dyDescent="0.2">
      <c r="A7" s="9">
        <v>6</v>
      </c>
      <c r="B7" s="10" t="str">
        <f>"10035"</f>
        <v>10035</v>
      </c>
      <c r="C7" s="11" t="s">
        <v>369</v>
      </c>
      <c r="D7" s="10">
        <v>2010</v>
      </c>
      <c r="E7" s="11" t="s">
        <v>16</v>
      </c>
      <c r="F7" s="13" t="s">
        <v>368</v>
      </c>
    </row>
    <row r="8" spans="1:6" ht="16" x14ac:dyDescent="0.2">
      <c r="A8" s="9">
        <v>7</v>
      </c>
      <c r="B8" s="10" t="str">
        <f>"09018"</f>
        <v>09018</v>
      </c>
      <c r="C8" s="11" t="s">
        <v>367</v>
      </c>
      <c r="D8" s="10">
        <v>2009</v>
      </c>
      <c r="E8" s="11" t="s">
        <v>19</v>
      </c>
      <c r="F8" s="13" t="s">
        <v>366</v>
      </c>
    </row>
    <row r="9" spans="1:6" ht="16" x14ac:dyDescent="0.2">
      <c r="A9" s="9">
        <v>8</v>
      </c>
      <c r="B9" s="10" t="str">
        <f>"09010"</f>
        <v>09010</v>
      </c>
      <c r="C9" s="11" t="s">
        <v>365</v>
      </c>
      <c r="D9" s="10">
        <v>2009</v>
      </c>
      <c r="E9" s="11" t="s">
        <v>79</v>
      </c>
      <c r="F9" s="13" t="s">
        <v>364</v>
      </c>
    </row>
    <row r="10" spans="1:6" ht="16" x14ac:dyDescent="0.2">
      <c r="A10" s="9">
        <v>9</v>
      </c>
      <c r="B10" s="10" t="str">
        <f>"10002"</f>
        <v>10002</v>
      </c>
      <c r="C10" s="11" t="s">
        <v>363</v>
      </c>
      <c r="D10" s="10">
        <v>2010</v>
      </c>
      <c r="E10" s="11" t="s">
        <v>10</v>
      </c>
      <c r="F10" s="13" t="s">
        <v>362</v>
      </c>
    </row>
    <row r="11" spans="1:6" ht="16" x14ac:dyDescent="0.2">
      <c r="A11" s="9">
        <v>10</v>
      </c>
      <c r="B11" s="10" t="str">
        <f>"10009"</f>
        <v>10009</v>
      </c>
      <c r="C11" s="11" t="s">
        <v>361</v>
      </c>
      <c r="D11" s="10">
        <v>2010</v>
      </c>
      <c r="E11" s="11" t="s">
        <v>19</v>
      </c>
      <c r="F11" s="13" t="s">
        <v>360</v>
      </c>
    </row>
    <row r="12" spans="1:6" ht="16" x14ac:dyDescent="0.2">
      <c r="A12" s="9">
        <v>11</v>
      </c>
      <c r="B12" s="10" t="str">
        <f>"10021"</f>
        <v>10021</v>
      </c>
      <c r="C12" s="11" t="s">
        <v>359</v>
      </c>
      <c r="D12" s="10">
        <v>2010</v>
      </c>
      <c r="E12" s="11" t="s">
        <v>22</v>
      </c>
      <c r="F12" s="13" t="s">
        <v>358</v>
      </c>
    </row>
    <row r="13" spans="1:6" ht="16" x14ac:dyDescent="0.2">
      <c r="A13" s="9">
        <v>12</v>
      </c>
      <c r="B13" s="10" t="str">
        <f>"10007"</f>
        <v>10007</v>
      </c>
      <c r="C13" s="11" t="s">
        <v>357</v>
      </c>
      <c r="D13" s="10">
        <v>2010</v>
      </c>
      <c r="E13" s="11" t="s">
        <v>79</v>
      </c>
      <c r="F13" s="13" t="s">
        <v>356</v>
      </c>
    </row>
    <row r="14" spans="1:6" ht="16" x14ac:dyDescent="0.2">
      <c r="A14" s="9">
        <v>13</v>
      </c>
      <c r="B14" s="10" t="str">
        <f>"09012"</f>
        <v>09012</v>
      </c>
      <c r="C14" s="11" t="s">
        <v>355</v>
      </c>
      <c r="D14" s="10">
        <v>2009</v>
      </c>
      <c r="E14" s="11" t="s">
        <v>19</v>
      </c>
      <c r="F14" s="13" t="s">
        <v>354</v>
      </c>
    </row>
    <row r="15" spans="1:6" ht="16" x14ac:dyDescent="0.2">
      <c r="A15" s="9">
        <v>14</v>
      </c>
      <c r="B15" s="10" t="str">
        <f>"09004"</f>
        <v>09004</v>
      </c>
      <c r="C15" s="11" t="s">
        <v>353</v>
      </c>
      <c r="D15" s="10">
        <v>2009</v>
      </c>
      <c r="E15" s="11" t="s">
        <v>16</v>
      </c>
      <c r="F15" s="13" t="s">
        <v>352</v>
      </c>
    </row>
    <row r="16" spans="1:6" ht="16" x14ac:dyDescent="0.2">
      <c r="A16" s="9">
        <v>15</v>
      </c>
      <c r="B16" s="10" t="str">
        <f>"09039"</f>
        <v>09039</v>
      </c>
      <c r="C16" s="11" t="s">
        <v>351</v>
      </c>
      <c r="D16" s="10">
        <v>2009</v>
      </c>
      <c r="E16" s="11" t="s">
        <v>7</v>
      </c>
      <c r="F16" s="13" t="s">
        <v>350</v>
      </c>
    </row>
    <row r="17" spans="1:6" ht="16" x14ac:dyDescent="0.2">
      <c r="A17" s="9">
        <v>16</v>
      </c>
      <c r="B17" s="10" t="str">
        <f>"10012"</f>
        <v>10012</v>
      </c>
      <c r="C17" s="11" t="s">
        <v>349</v>
      </c>
      <c r="D17" s="10">
        <v>2010</v>
      </c>
      <c r="E17" s="11" t="s">
        <v>19</v>
      </c>
      <c r="F17" s="13" t="s">
        <v>348</v>
      </c>
    </row>
    <row r="18" spans="1:6" ht="16" x14ac:dyDescent="0.2">
      <c r="A18" s="9">
        <v>17</v>
      </c>
      <c r="B18" s="10" t="str">
        <f>"10013"</f>
        <v>10013</v>
      </c>
      <c r="C18" s="11" t="s">
        <v>347</v>
      </c>
      <c r="D18" s="10">
        <v>2010</v>
      </c>
      <c r="E18" s="11" t="s">
        <v>79</v>
      </c>
      <c r="F18" s="13" t="s">
        <v>346</v>
      </c>
    </row>
    <row r="19" spans="1:6" ht="16" x14ac:dyDescent="0.2">
      <c r="A19" s="9">
        <v>18</v>
      </c>
      <c r="B19" s="10" t="str">
        <f>"09035"</f>
        <v>09035</v>
      </c>
      <c r="C19" s="11" t="s">
        <v>345</v>
      </c>
      <c r="D19" s="10">
        <v>2009</v>
      </c>
      <c r="E19" s="11" t="s">
        <v>113</v>
      </c>
      <c r="F19" s="13" t="s">
        <v>344</v>
      </c>
    </row>
    <row r="20" spans="1:6" ht="16" x14ac:dyDescent="0.2">
      <c r="A20" s="9">
        <v>19</v>
      </c>
      <c r="B20" s="10" t="str">
        <f>"09040"</f>
        <v>09040</v>
      </c>
      <c r="C20" s="11" t="s">
        <v>343</v>
      </c>
      <c r="D20" s="10">
        <v>2009</v>
      </c>
      <c r="E20" s="11" t="s">
        <v>19</v>
      </c>
      <c r="F20" s="13" t="s">
        <v>342</v>
      </c>
    </row>
    <row r="21" spans="1:6" ht="16" x14ac:dyDescent="0.2">
      <c r="A21" s="9">
        <v>20</v>
      </c>
      <c r="B21" s="10" t="str">
        <f>"09013"</f>
        <v>09013</v>
      </c>
      <c r="C21" s="11" t="s">
        <v>341</v>
      </c>
      <c r="D21" s="10">
        <v>2009</v>
      </c>
      <c r="E21" s="11" t="s">
        <v>122</v>
      </c>
      <c r="F21" s="13" t="s">
        <v>340</v>
      </c>
    </row>
    <row r="22" spans="1:6" ht="16" x14ac:dyDescent="0.2">
      <c r="A22" s="9">
        <v>21</v>
      </c>
      <c r="B22" s="10" t="str">
        <f>"09006"</f>
        <v>09006</v>
      </c>
      <c r="C22" s="11" t="s">
        <v>339</v>
      </c>
      <c r="D22" s="10">
        <v>2009</v>
      </c>
      <c r="E22" s="11" t="s">
        <v>79</v>
      </c>
      <c r="F22" s="13" t="s">
        <v>338</v>
      </c>
    </row>
    <row r="23" spans="1:6" ht="16" x14ac:dyDescent="0.2">
      <c r="A23" s="9">
        <v>22</v>
      </c>
      <c r="B23" s="10" t="str">
        <f>"10008"</f>
        <v>10008</v>
      </c>
      <c r="C23" s="11" t="s">
        <v>337</v>
      </c>
      <c r="D23" s="10">
        <v>2010</v>
      </c>
      <c r="E23" s="11" t="s">
        <v>19</v>
      </c>
      <c r="F23" s="13" t="s">
        <v>336</v>
      </c>
    </row>
    <row r="24" spans="1:6" ht="16" x14ac:dyDescent="0.2">
      <c r="A24" s="9">
        <v>23</v>
      </c>
      <c r="B24" s="10" t="str">
        <f>"10004"</f>
        <v>10004</v>
      </c>
      <c r="C24" s="11" t="s">
        <v>335</v>
      </c>
      <c r="D24" s="10">
        <v>2010</v>
      </c>
      <c r="E24" s="11" t="s">
        <v>51</v>
      </c>
      <c r="F24" s="13" t="s">
        <v>334</v>
      </c>
    </row>
    <row r="25" spans="1:6" ht="16" x14ac:dyDescent="0.2">
      <c r="A25" s="9">
        <v>24</v>
      </c>
      <c r="B25" s="10" t="str">
        <f>"10042"</f>
        <v>10042</v>
      </c>
      <c r="C25" s="11" t="s">
        <v>333</v>
      </c>
      <c r="D25" s="10">
        <v>2010</v>
      </c>
      <c r="E25" s="11" t="s">
        <v>7</v>
      </c>
      <c r="F25" s="13" t="s">
        <v>332</v>
      </c>
    </row>
    <row r="26" spans="1:6" ht="16" x14ac:dyDescent="0.2">
      <c r="A26" s="9">
        <v>25</v>
      </c>
      <c r="B26" s="10" t="str">
        <f>"09045"</f>
        <v>09045</v>
      </c>
      <c r="C26" s="11" t="s">
        <v>331</v>
      </c>
      <c r="D26" s="10">
        <v>2009</v>
      </c>
      <c r="E26" s="11" t="s">
        <v>22</v>
      </c>
      <c r="F26" s="13" t="s">
        <v>330</v>
      </c>
    </row>
    <row r="27" spans="1:6" ht="16" x14ac:dyDescent="0.2">
      <c r="A27" s="9">
        <v>26</v>
      </c>
      <c r="B27" s="10" t="str">
        <f>"10043"</f>
        <v>10043</v>
      </c>
      <c r="C27" s="11" t="s">
        <v>329</v>
      </c>
      <c r="D27" s="10">
        <v>2010</v>
      </c>
      <c r="E27" s="11" t="s">
        <v>7</v>
      </c>
      <c r="F27" s="13" t="s">
        <v>328</v>
      </c>
    </row>
    <row r="28" spans="1:6" ht="16" x14ac:dyDescent="0.2">
      <c r="A28" s="9">
        <v>27</v>
      </c>
      <c r="B28" s="10" t="str">
        <f>"10020"</f>
        <v>10020</v>
      </c>
      <c r="C28" s="11" t="s">
        <v>327</v>
      </c>
      <c r="D28" s="10">
        <v>2010</v>
      </c>
      <c r="E28" s="11" t="s">
        <v>10</v>
      </c>
      <c r="F28" s="13" t="s">
        <v>326</v>
      </c>
    </row>
    <row r="29" spans="1:6" ht="16" x14ac:dyDescent="0.2">
      <c r="A29" s="9">
        <v>28</v>
      </c>
      <c r="B29" s="10" t="str">
        <f>"09031"</f>
        <v>09031</v>
      </c>
      <c r="C29" s="11" t="s">
        <v>325</v>
      </c>
      <c r="D29" s="10">
        <v>2009</v>
      </c>
      <c r="E29" s="11" t="s">
        <v>51</v>
      </c>
      <c r="F29" s="13" t="s">
        <v>324</v>
      </c>
    </row>
    <row r="30" spans="1:6" ht="16" x14ac:dyDescent="0.2">
      <c r="A30" s="9">
        <v>29</v>
      </c>
      <c r="B30" s="10" t="str">
        <f>"10011"</f>
        <v>10011</v>
      </c>
      <c r="C30" s="11" t="s">
        <v>323</v>
      </c>
      <c r="D30" s="10">
        <v>2010</v>
      </c>
      <c r="E30" s="11" t="s">
        <v>19</v>
      </c>
      <c r="F30" s="13" t="s">
        <v>322</v>
      </c>
    </row>
    <row r="31" spans="1:6" ht="16" x14ac:dyDescent="0.2">
      <c r="A31" s="9">
        <v>30</v>
      </c>
      <c r="B31" s="10" t="str">
        <f>"10017"</f>
        <v>10017</v>
      </c>
      <c r="C31" s="11" t="s">
        <v>321</v>
      </c>
      <c r="D31" s="10">
        <v>2010</v>
      </c>
      <c r="E31" s="11" t="s">
        <v>7</v>
      </c>
      <c r="F31" s="13" t="s">
        <v>320</v>
      </c>
    </row>
    <row r="32" spans="1:6" ht="16" x14ac:dyDescent="0.2">
      <c r="A32" s="9">
        <v>31</v>
      </c>
      <c r="B32" s="10" t="str">
        <f>"09043"</f>
        <v>09043</v>
      </c>
      <c r="C32" s="11" t="s">
        <v>319</v>
      </c>
      <c r="D32" s="10">
        <v>2009</v>
      </c>
      <c r="E32" s="11" t="s">
        <v>31</v>
      </c>
      <c r="F32" s="13" t="s">
        <v>318</v>
      </c>
    </row>
    <row r="33" spans="1:6" ht="16" x14ac:dyDescent="0.2">
      <c r="A33" s="9">
        <v>32</v>
      </c>
      <c r="B33" s="10" t="str">
        <f>"09024"</f>
        <v>09024</v>
      </c>
      <c r="C33" s="11" t="s">
        <v>317</v>
      </c>
      <c r="D33" s="10">
        <v>2009</v>
      </c>
      <c r="E33" s="11" t="s">
        <v>110</v>
      </c>
      <c r="F33" s="13" t="s">
        <v>316</v>
      </c>
    </row>
    <row r="34" spans="1:6" ht="16" x14ac:dyDescent="0.2">
      <c r="A34" s="9">
        <v>33</v>
      </c>
      <c r="B34" s="10" t="str">
        <f>"10015"</f>
        <v>10015</v>
      </c>
      <c r="C34" s="11" t="s">
        <v>315</v>
      </c>
      <c r="D34" s="10">
        <v>2010</v>
      </c>
      <c r="E34" s="11" t="s">
        <v>51</v>
      </c>
      <c r="F34" s="13" t="s">
        <v>314</v>
      </c>
    </row>
    <row r="35" spans="1:6" ht="16" x14ac:dyDescent="0.2">
      <c r="A35" s="9">
        <v>34</v>
      </c>
      <c r="B35" s="10" t="str">
        <f>"10040"</f>
        <v>10040</v>
      </c>
      <c r="C35" s="11" t="s">
        <v>313</v>
      </c>
      <c r="D35" s="10">
        <v>2010</v>
      </c>
      <c r="E35" s="11" t="s">
        <v>13</v>
      </c>
      <c r="F35" s="13" t="s">
        <v>312</v>
      </c>
    </row>
    <row r="36" spans="1:6" ht="16" x14ac:dyDescent="0.2">
      <c r="A36" s="9">
        <v>35</v>
      </c>
      <c r="B36" s="10" t="str">
        <f>"10024"</f>
        <v>10024</v>
      </c>
      <c r="C36" s="11" t="s">
        <v>311</v>
      </c>
      <c r="D36" s="10">
        <v>2010</v>
      </c>
      <c r="E36" s="11" t="s">
        <v>19</v>
      </c>
      <c r="F36" s="13" t="s">
        <v>310</v>
      </c>
    </row>
    <row r="37" spans="1:6" ht="16" x14ac:dyDescent="0.2">
      <c r="A37" s="9" t="s">
        <v>306</v>
      </c>
      <c r="B37" s="10" t="str">
        <f>"10034"</f>
        <v>10034</v>
      </c>
      <c r="C37" s="11" t="s">
        <v>309</v>
      </c>
      <c r="D37" s="10">
        <v>2010</v>
      </c>
      <c r="E37" s="11" t="s">
        <v>113</v>
      </c>
      <c r="F37" s="13" t="s">
        <v>40</v>
      </c>
    </row>
    <row r="38" spans="1:6" ht="16" x14ac:dyDescent="0.2">
      <c r="A38" s="9" t="s">
        <v>306</v>
      </c>
      <c r="B38" s="10" t="str">
        <f>"10037"</f>
        <v>10037</v>
      </c>
      <c r="C38" s="11" t="s">
        <v>308</v>
      </c>
      <c r="D38" s="10">
        <v>2010</v>
      </c>
      <c r="E38" s="11" t="s">
        <v>31</v>
      </c>
      <c r="F38" s="13" t="s">
        <v>40</v>
      </c>
    </row>
    <row r="39" spans="1:6" ht="16" x14ac:dyDescent="0.2">
      <c r="A39" s="9" t="s">
        <v>306</v>
      </c>
      <c r="B39" s="10" t="str">
        <f>"09048"</f>
        <v>09048</v>
      </c>
      <c r="C39" s="11" t="s">
        <v>307</v>
      </c>
      <c r="D39" s="10">
        <v>2009</v>
      </c>
      <c r="E39" s="11" t="s">
        <v>147</v>
      </c>
      <c r="F39" s="13" t="s">
        <v>40</v>
      </c>
    </row>
    <row r="40" spans="1:6" ht="16" x14ac:dyDescent="0.2">
      <c r="A40" s="9" t="s">
        <v>306</v>
      </c>
      <c r="B40" s="10" t="str">
        <f>"10044"</f>
        <v>10044</v>
      </c>
      <c r="C40" s="11" t="s">
        <v>305</v>
      </c>
      <c r="D40" s="10">
        <v>2010</v>
      </c>
      <c r="E40" s="11" t="s">
        <v>7</v>
      </c>
      <c r="F40" s="1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Najboljsi klub 2025</vt:lpstr>
      <vt:lpstr>ČLE</vt:lpstr>
      <vt:lpstr>ČLI</vt:lpstr>
      <vt:lpstr>JUE</vt:lpstr>
      <vt:lpstr>JUI</vt:lpstr>
      <vt:lpstr>MDE</vt:lpstr>
      <vt:lpstr>MDI</vt:lpstr>
      <vt:lpstr>MME</vt:lpstr>
      <vt:lpstr>MMI</vt:lpstr>
      <vt:lpstr>SDE</vt:lpstr>
      <vt:lpstr>SDI</vt:lpstr>
      <vt:lpstr>SME</vt:lpstr>
      <vt:lpstr>SMI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Uros Ponikvar</dc:creator>
  <cp:lastModifiedBy>Luka Dolar</cp:lastModifiedBy>
  <dcterms:created xsi:type="dcterms:W3CDTF">2025-04-07T14:35:44Z</dcterms:created>
  <dcterms:modified xsi:type="dcterms:W3CDTF">2025-04-13T07:46:24Z</dcterms:modified>
</cp:coreProperties>
</file>